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ient\F$\Homepageneu\"/>
    </mc:Choice>
  </mc:AlternateContent>
  <bookViews>
    <workbookView xWindow="360" yWindow="90" windowWidth="12795" windowHeight="9465" activeTab="1"/>
  </bookViews>
  <sheets>
    <sheet name="Kreatinin basiert" sheetId="1" r:id="rId1"/>
    <sheet name="Cystatin basiert" sheetId="2" r:id="rId2"/>
  </sheets>
  <definedNames>
    <definedName name="Alter" localSheetId="1">'Cystatin basiert'!$B$124:$B$205</definedName>
    <definedName name="Alter">'Kreatinin basiert'!$B$124:$B$205</definedName>
    <definedName name="_xlnm.Print_Area" localSheetId="1">'Cystatin basiert'!$A$1:$M$32</definedName>
    <definedName name="_xlnm.Print_Area" localSheetId="0">'Kreatinin basiert'!$Z$1:$AL$32</definedName>
    <definedName name="Geschlecht" localSheetId="1">'Cystatin basiert'!$A$106:$A$107</definedName>
    <definedName name="Geschlecht">'Kreatinin basiert'!$A$106:$A$107</definedName>
    <definedName name="Gewicht" localSheetId="1">'Cystatin basiert'!#REF!</definedName>
    <definedName name="Gewicht">'Kreatinin basiert'!#REF!</definedName>
  </definedNames>
  <calcPr calcId="152511"/>
</workbook>
</file>

<file path=xl/calcChain.xml><?xml version="1.0" encoding="utf-8"?>
<calcChain xmlns="http://schemas.openxmlformats.org/spreadsheetml/2006/main">
  <c r="T8" i="2" l="1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7" i="2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7" i="1"/>
  <c r="R8" i="2" l="1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7" i="2"/>
  <c r="N7" i="2" l="1"/>
  <c r="H108" i="2"/>
  <c r="H111" i="2"/>
  <c r="H110" i="2"/>
  <c r="G113" i="2"/>
  <c r="F113" i="2"/>
  <c r="G111" i="2"/>
  <c r="F111" i="2"/>
  <c r="G107" i="2"/>
  <c r="F107" i="2"/>
  <c r="B39" i="1" l="1"/>
  <c r="B39" i="2"/>
  <c r="B48" i="2"/>
  <c r="B47" i="2"/>
  <c r="B49" i="2" s="1"/>
  <c r="S32" i="2"/>
  <c r="Q32" i="2"/>
  <c r="P32" i="2"/>
  <c r="O32" i="2"/>
  <c r="M32" i="2"/>
  <c r="L32" i="2"/>
  <c r="K32" i="2"/>
  <c r="J32" i="2"/>
  <c r="I32" i="2"/>
  <c r="H32" i="2"/>
  <c r="G32" i="2"/>
  <c r="F32" i="2"/>
  <c r="E32" i="2"/>
  <c r="D32" i="2"/>
  <c r="C32" i="2"/>
  <c r="B32" i="2"/>
  <c r="S31" i="2"/>
  <c r="Q31" i="2"/>
  <c r="P31" i="2"/>
  <c r="O31" i="2"/>
  <c r="M31" i="2"/>
  <c r="L31" i="2"/>
  <c r="K31" i="2"/>
  <c r="J31" i="2"/>
  <c r="I31" i="2"/>
  <c r="H31" i="2"/>
  <c r="G31" i="2"/>
  <c r="F31" i="2"/>
  <c r="E31" i="2"/>
  <c r="D31" i="2"/>
  <c r="C31" i="2"/>
  <c r="B31" i="2"/>
  <c r="S30" i="2"/>
  <c r="Q30" i="2"/>
  <c r="P30" i="2"/>
  <c r="O30" i="2"/>
  <c r="M30" i="2"/>
  <c r="L30" i="2"/>
  <c r="K30" i="2"/>
  <c r="J30" i="2"/>
  <c r="I30" i="2"/>
  <c r="H30" i="2"/>
  <c r="G30" i="2"/>
  <c r="F30" i="2"/>
  <c r="E30" i="2"/>
  <c r="D30" i="2"/>
  <c r="C30" i="2"/>
  <c r="B30" i="2"/>
  <c r="S29" i="2"/>
  <c r="Q29" i="2"/>
  <c r="P29" i="2"/>
  <c r="O29" i="2"/>
  <c r="M29" i="2"/>
  <c r="L29" i="2"/>
  <c r="K29" i="2"/>
  <c r="J29" i="2"/>
  <c r="I29" i="2"/>
  <c r="H29" i="2"/>
  <c r="G29" i="2"/>
  <c r="F29" i="2"/>
  <c r="E29" i="2"/>
  <c r="D29" i="2"/>
  <c r="C29" i="2"/>
  <c r="B29" i="2"/>
  <c r="S28" i="2"/>
  <c r="Q28" i="2"/>
  <c r="P28" i="2"/>
  <c r="O28" i="2"/>
  <c r="M28" i="2"/>
  <c r="L28" i="2"/>
  <c r="K28" i="2"/>
  <c r="J28" i="2"/>
  <c r="I28" i="2"/>
  <c r="H28" i="2"/>
  <c r="G28" i="2"/>
  <c r="F28" i="2"/>
  <c r="E28" i="2"/>
  <c r="D28" i="2"/>
  <c r="C28" i="2"/>
  <c r="B28" i="2"/>
  <c r="S27" i="2"/>
  <c r="Q27" i="2"/>
  <c r="P27" i="2"/>
  <c r="O27" i="2"/>
  <c r="M27" i="2"/>
  <c r="L27" i="2"/>
  <c r="K27" i="2"/>
  <c r="J27" i="2"/>
  <c r="I27" i="2"/>
  <c r="H27" i="2"/>
  <c r="G27" i="2"/>
  <c r="F27" i="2"/>
  <c r="E27" i="2"/>
  <c r="D27" i="2"/>
  <c r="C27" i="2"/>
  <c r="B27" i="2"/>
  <c r="S26" i="2"/>
  <c r="Q26" i="2"/>
  <c r="P26" i="2"/>
  <c r="O26" i="2"/>
  <c r="M26" i="2"/>
  <c r="L26" i="2"/>
  <c r="K26" i="2"/>
  <c r="J26" i="2"/>
  <c r="I26" i="2"/>
  <c r="H26" i="2"/>
  <c r="G26" i="2"/>
  <c r="F26" i="2"/>
  <c r="E26" i="2"/>
  <c r="D26" i="2"/>
  <c r="C26" i="2"/>
  <c r="B26" i="2"/>
  <c r="S25" i="2"/>
  <c r="Q25" i="2"/>
  <c r="P25" i="2"/>
  <c r="O25" i="2"/>
  <c r="M25" i="2"/>
  <c r="L25" i="2"/>
  <c r="K25" i="2"/>
  <c r="J25" i="2"/>
  <c r="I25" i="2"/>
  <c r="H25" i="2"/>
  <c r="G25" i="2"/>
  <c r="F25" i="2"/>
  <c r="E25" i="2"/>
  <c r="D25" i="2"/>
  <c r="C25" i="2"/>
  <c r="B25" i="2"/>
  <c r="S24" i="2"/>
  <c r="Q24" i="2"/>
  <c r="P24" i="2"/>
  <c r="O24" i="2"/>
  <c r="M24" i="2"/>
  <c r="L24" i="2"/>
  <c r="K24" i="2"/>
  <c r="J24" i="2"/>
  <c r="I24" i="2"/>
  <c r="H24" i="2"/>
  <c r="G24" i="2"/>
  <c r="F24" i="2"/>
  <c r="E24" i="2"/>
  <c r="D24" i="2"/>
  <c r="C24" i="2"/>
  <c r="B24" i="2"/>
  <c r="S23" i="2"/>
  <c r="Q23" i="2"/>
  <c r="P23" i="2"/>
  <c r="O23" i="2"/>
  <c r="M23" i="2"/>
  <c r="L23" i="2"/>
  <c r="K23" i="2"/>
  <c r="J23" i="2"/>
  <c r="I23" i="2"/>
  <c r="H23" i="2"/>
  <c r="G23" i="2"/>
  <c r="F23" i="2"/>
  <c r="E23" i="2"/>
  <c r="D23" i="2"/>
  <c r="C23" i="2"/>
  <c r="B23" i="2"/>
  <c r="S22" i="2"/>
  <c r="Q22" i="2"/>
  <c r="P22" i="2"/>
  <c r="O22" i="2"/>
  <c r="M22" i="2"/>
  <c r="L22" i="2"/>
  <c r="K22" i="2"/>
  <c r="J22" i="2"/>
  <c r="I22" i="2"/>
  <c r="H22" i="2"/>
  <c r="G22" i="2"/>
  <c r="F22" i="2"/>
  <c r="E22" i="2"/>
  <c r="D22" i="2"/>
  <c r="C22" i="2"/>
  <c r="B22" i="2"/>
  <c r="S21" i="2"/>
  <c r="Q21" i="2"/>
  <c r="P21" i="2"/>
  <c r="O21" i="2"/>
  <c r="M21" i="2"/>
  <c r="L21" i="2"/>
  <c r="K21" i="2"/>
  <c r="J21" i="2"/>
  <c r="I21" i="2"/>
  <c r="H21" i="2"/>
  <c r="G21" i="2"/>
  <c r="F21" i="2"/>
  <c r="E21" i="2"/>
  <c r="D21" i="2"/>
  <c r="C21" i="2"/>
  <c r="B21" i="2"/>
  <c r="S20" i="2"/>
  <c r="Q20" i="2"/>
  <c r="P20" i="2"/>
  <c r="O20" i="2"/>
  <c r="M20" i="2"/>
  <c r="L20" i="2"/>
  <c r="K20" i="2"/>
  <c r="J20" i="2"/>
  <c r="I20" i="2"/>
  <c r="H20" i="2"/>
  <c r="G20" i="2"/>
  <c r="F20" i="2"/>
  <c r="E20" i="2"/>
  <c r="D20" i="2"/>
  <c r="C20" i="2"/>
  <c r="B20" i="2"/>
  <c r="S19" i="2"/>
  <c r="Q19" i="2"/>
  <c r="P19" i="2"/>
  <c r="O19" i="2"/>
  <c r="M19" i="2"/>
  <c r="L19" i="2"/>
  <c r="K19" i="2"/>
  <c r="J19" i="2"/>
  <c r="I19" i="2"/>
  <c r="H19" i="2"/>
  <c r="G19" i="2"/>
  <c r="F19" i="2"/>
  <c r="E19" i="2"/>
  <c r="D19" i="2"/>
  <c r="C19" i="2"/>
  <c r="B19" i="2"/>
  <c r="S18" i="2"/>
  <c r="Q18" i="2"/>
  <c r="P18" i="2"/>
  <c r="O18" i="2"/>
  <c r="M18" i="2"/>
  <c r="L18" i="2"/>
  <c r="K18" i="2"/>
  <c r="J18" i="2"/>
  <c r="I18" i="2"/>
  <c r="H18" i="2"/>
  <c r="G18" i="2"/>
  <c r="F18" i="2"/>
  <c r="E18" i="2"/>
  <c r="D18" i="2"/>
  <c r="C18" i="2"/>
  <c r="B18" i="2"/>
  <c r="S17" i="2"/>
  <c r="Q17" i="2"/>
  <c r="P17" i="2"/>
  <c r="O17" i="2"/>
  <c r="M17" i="2"/>
  <c r="L17" i="2"/>
  <c r="K17" i="2"/>
  <c r="J17" i="2"/>
  <c r="I17" i="2"/>
  <c r="H17" i="2"/>
  <c r="G17" i="2"/>
  <c r="F17" i="2"/>
  <c r="E17" i="2"/>
  <c r="D17" i="2"/>
  <c r="C17" i="2"/>
  <c r="B17" i="2"/>
  <c r="S16" i="2"/>
  <c r="Q16" i="2"/>
  <c r="P16" i="2"/>
  <c r="O16" i="2"/>
  <c r="M16" i="2"/>
  <c r="L16" i="2"/>
  <c r="K16" i="2"/>
  <c r="J16" i="2"/>
  <c r="I16" i="2"/>
  <c r="H16" i="2"/>
  <c r="G16" i="2"/>
  <c r="F16" i="2"/>
  <c r="E16" i="2"/>
  <c r="D16" i="2"/>
  <c r="C16" i="2"/>
  <c r="B16" i="2"/>
  <c r="S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S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S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S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S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S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S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S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S7" i="2"/>
  <c r="Q7" i="2"/>
  <c r="P7" i="2"/>
  <c r="O7" i="2"/>
  <c r="M7" i="2"/>
  <c r="L7" i="2"/>
  <c r="K7" i="2"/>
  <c r="J7" i="2"/>
  <c r="I7" i="2"/>
  <c r="H7" i="2"/>
  <c r="G7" i="2"/>
  <c r="F7" i="2"/>
  <c r="E7" i="2"/>
  <c r="D7" i="2"/>
  <c r="C7" i="2"/>
  <c r="B7" i="2"/>
  <c r="N32" i="2" l="1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B48" i="1" l="1"/>
  <c r="B47" i="1"/>
  <c r="B49" i="1" s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X8" i="1" l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7" i="1"/>
  <c r="L7" i="1"/>
  <c r="B8" i="1"/>
  <c r="B9" i="1"/>
  <c r="M9" i="1" s="1"/>
  <c r="B10" i="1"/>
  <c r="B11" i="1"/>
  <c r="B12" i="1"/>
  <c r="I12" i="1" s="1"/>
  <c r="B13" i="1"/>
  <c r="D13" i="1" s="1"/>
  <c r="B14" i="1"/>
  <c r="B15" i="1"/>
  <c r="B16" i="1"/>
  <c r="B17" i="1"/>
  <c r="H17" i="1" s="1"/>
  <c r="B18" i="1"/>
  <c r="B19" i="1"/>
  <c r="B20" i="1"/>
  <c r="K20" i="1" s="1"/>
  <c r="B21" i="1"/>
  <c r="B22" i="1"/>
  <c r="B23" i="1"/>
  <c r="B24" i="1"/>
  <c r="B25" i="1"/>
  <c r="H25" i="1" s="1"/>
  <c r="B26" i="1"/>
  <c r="B27" i="1"/>
  <c r="B28" i="1"/>
  <c r="F28" i="1" s="1"/>
  <c r="B29" i="1"/>
  <c r="D29" i="1" s="1"/>
  <c r="B30" i="1"/>
  <c r="B31" i="1"/>
  <c r="B32" i="1"/>
  <c r="B7" i="1"/>
  <c r="F7" i="1" s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J10" i="1"/>
  <c r="J14" i="1"/>
  <c r="J26" i="1"/>
  <c r="J30" i="1"/>
  <c r="I8" i="1"/>
  <c r="I24" i="1"/>
  <c r="I28" i="1"/>
  <c r="H10" i="1"/>
  <c r="H14" i="1"/>
  <c r="H18" i="1"/>
  <c r="H22" i="1"/>
  <c r="H24" i="1"/>
  <c r="H26" i="1"/>
  <c r="H28" i="1"/>
  <c r="H29" i="1"/>
  <c r="H30" i="1"/>
  <c r="E8" i="1"/>
  <c r="E9" i="1"/>
  <c r="E16" i="1"/>
  <c r="E17" i="1"/>
  <c r="E29" i="1"/>
  <c r="F8" i="1"/>
  <c r="F9" i="1"/>
  <c r="F10" i="1"/>
  <c r="F14" i="1"/>
  <c r="F18" i="1"/>
  <c r="F20" i="1"/>
  <c r="F22" i="1"/>
  <c r="F26" i="1"/>
  <c r="F30" i="1"/>
  <c r="F32" i="1"/>
  <c r="D12" i="1"/>
  <c r="D20" i="1"/>
  <c r="D28" i="1"/>
  <c r="M29" i="1"/>
  <c r="M13" i="1"/>
  <c r="C32" i="1"/>
  <c r="C30" i="1"/>
  <c r="M26" i="1"/>
  <c r="C26" i="1"/>
  <c r="K22" i="1"/>
  <c r="M22" i="1"/>
  <c r="K18" i="1"/>
  <c r="K16" i="1"/>
  <c r="C14" i="1"/>
  <c r="K12" i="1"/>
  <c r="C12" i="1"/>
  <c r="M10" i="1"/>
  <c r="C10" i="1"/>
  <c r="K8" i="1"/>
  <c r="C8" i="1"/>
  <c r="I30" i="1"/>
  <c r="I18" i="1"/>
  <c r="I14" i="1"/>
  <c r="J24" i="1"/>
  <c r="J20" i="1"/>
  <c r="J8" i="1"/>
  <c r="M28" i="1"/>
  <c r="K7" i="1"/>
  <c r="K31" i="1"/>
  <c r="C29" i="1"/>
  <c r="J27" i="1"/>
  <c r="I25" i="1"/>
  <c r="K23" i="1"/>
  <c r="J21" i="1"/>
  <c r="J19" i="1"/>
  <c r="K17" i="1"/>
  <c r="K15" i="1"/>
  <c r="C13" i="1"/>
  <c r="J11" i="1"/>
  <c r="I9" i="1"/>
  <c r="R21" i="1" l="1"/>
  <c r="Q21" i="1"/>
  <c r="J9" i="1"/>
  <c r="I13" i="1"/>
  <c r="C17" i="1"/>
  <c r="C7" i="1"/>
  <c r="M17" i="1"/>
  <c r="F25" i="1"/>
  <c r="I32" i="1"/>
  <c r="Q32" i="1"/>
  <c r="R32" i="1"/>
  <c r="Q24" i="1"/>
  <c r="R24" i="1"/>
  <c r="Q16" i="1"/>
  <c r="R16" i="1"/>
  <c r="Q8" i="1"/>
  <c r="R8" i="1"/>
  <c r="H9" i="1"/>
  <c r="C9" i="1"/>
  <c r="K13" i="1"/>
  <c r="J17" i="1"/>
  <c r="I21" i="1"/>
  <c r="C25" i="1"/>
  <c r="K29" i="1"/>
  <c r="J7" i="1"/>
  <c r="M20" i="1"/>
  <c r="J16" i="1"/>
  <c r="J32" i="1"/>
  <c r="H8" i="1"/>
  <c r="C16" i="1"/>
  <c r="K24" i="1"/>
  <c r="K28" i="1"/>
  <c r="M25" i="1"/>
  <c r="D21" i="1"/>
  <c r="F21" i="1"/>
  <c r="F16" i="1"/>
  <c r="E32" i="1"/>
  <c r="E21" i="1"/>
  <c r="E12" i="1"/>
  <c r="M8" i="1"/>
  <c r="R30" i="1"/>
  <c r="Q30" i="1"/>
  <c r="R26" i="1"/>
  <c r="Q26" i="1"/>
  <c r="R22" i="1"/>
  <c r="Q22" i="1"/>
  <c r="R18" i="1"/>
  <c r="Q18" i="1"/>
  <c r="R14" i="1"/>
  <c r="Q14" i="1"/>
  <c r="R10" i="1"/>
  <c r="Q10" i="1"/>
  <c r="Q7" i="1"/>
  <c r="R7" i="1"/>
  <c r="Q29" i="1"/>
  <c r="R29" i="1"/>
  <c r="Q25" i="1"/>
  <c r="R25" i="1"/>
  <c r="Q17" i="1"/>
  <c r="R17" i="1"/>
  <c r="R13" i="1"/>
  <c r="Q13" i="1"/>
  <c r="Q9" i="1"/>
  <c r="R9" i="1"/>
  <c r="K21" i="1"/>
  <c r="J25" i="1"/>
  <c r="I29" i="1"/>
  <c r="M7" i="1"/>
  <c r="D25" i="1"/>
  <c r="D17" i="1"/>
  <c r="D9" i="1"/>
  <c r="F13" i="1"/>
  <c r="E25" i="1"/>
  <c r="H13" i="1"/>
  <c r="Q28" i="1"/>
  <c r="R28" i="1"/>
  <c r="Q20" i="1"/>
  <c r="R20" i="1"/>
  <c r="Q12" i="1"/>
  <c r="R12" i="1"/>
  <c r="K9" i="1"/>
  <c r="J13" i="1"/>
  <c r="I17" i="1"/>
  <c r="C21" i="1"/>
  <c r="K25" i="1"/>
  <c r="J29" i="1"/>
  <c r="I7" i="1"/>
  <c r="M12" i="1"/>
  <c r="J12" i="1"/>
  <c r="J28" i="1"/>
  <c r="C20" i="1"/>
  <c r="C24" i="1"/>
  <c r="C28" i="1"/>
  <c r="K32" i="1"/>
  <c r="M21" i="1"/>
  <c r="D7" i="1"/>
  <c r="D24" i="1"/>
  <c r="D16" i="1"/>
  <c r="D8" i="1"/>
  <c r="F29" i="1"/>
  <c r="F17" i="1"/>
  <c r="F12" i="1"/>
  <c r="E7" i="1"/>
  <c r="E24" i="1"/>
  <c r="E13" i="1"/>
  <c r="H7" i="1"/>
  <c r="H12" i="1"/>
  <c r="I16" i="1"/>
  <c r="M24" i="1"/>
  <c r="Q31" i="1"/>
  <c r="R31" i="1"/>
  <c r="R27" i="1"/>
  <c r="Q27" i="1"/>
  <c r="Q23" i="1"/>
  <c r="R23" i="1"/>
  <c r="R19" i="1"/>
  <c r="Q19" i="1"/>
  <c r="Q15" i="1"/>
  <c r="R15" i="1"/>
  <c r="R11" i="1"/>
  <c r="Q11" i="1"/>
  <c r="H20" i="1"/>
  <c r="K30" i="1"/>
  <c r="I26" i="1"/>
  <c r="C22" i="1"/>
  <c r="J18" i="1"/>
  <c r="K14" i="1"/>
  <c r="I10" i="1"/>
  <c r="M32" i="1"/>
  <c r="D32" i="1"/>
  <c r="F24" i="1"/>
  <c r="E28" i="1"/>
  <c r="E20" i="1"/>
  <c r="H32" i="1"/>
  <c r="H21" i="1"/>
  <c r="H16" i="1"/>
  <c r="I20" i="1"/>
  <c r="M16" i="1"/>
  <c r="H31" i="1"/>
  <c r="H27" i="1"/>
  <c r="H23" i="1"/>
  <c r="H19" i="1"/>
  <c r="H15" i="1"/>
  <c r="H11" i="1"/>
  <c r="C15" i="1"/>
  <c r="I23" i="1"/>
  <c r="C23" i="1"/>
  <c r="M15" i="1"/>
  <c r="M31" i="1"/>
  <c r="D31" i="1"/>
  <c r="D23" i="1"/>
  <c r="D19" i="1"/>
  <c r="D15" i="1"/>
  <c r="D11" i="1"/>
  <c r="E31" i="1"/>
  <c r="E23" i="1"/>
  <c r="E15" i="1"/>
  <c r="E11" i="1"/>
  <c r="K11" i="1"/>
  <c r="J15" i="1"/>
  <c r="K19" i="1"/>
  <c r="J23" i="1"/>
  <c r="K27" i="1"/>
  <c r="J31" i="1"/>
  <c r="I22" i="1"/>
  <c r="K10" i="1"/>
  <c r="M14" i="1"/>
  <c r="C18" i="1"/>
  <c r="K26" i="1"/>
  <c r="M30" i="1"/>
  <c r="D30" i="1"/>
  <c r="D26" i="1"/>
  <c r="D22" i="1"/>
  <c r="D18" i="1"/>
  <c r="D14" i="1"/>
  <c r="D10" i="1"/>
  <c r="E30" i="1"/>
  <c r="E26" i="1"/>
  <c r="E22" i="1"/>
  <c r="E18" i="1"/>
  <c r="E14" i="1"/>
  <c r="E10" i="1"/>
  <c r="J22" i="1"/>
  <c r="I15" i="1"/>
  <c r="I31" i="1"/>
  <c r="C31" i="1"/>
  <c r="M23" i="1"/>
  <c r="D27" i="1"/>
  <c r="E27" i="1"/>
  <c r="E19" i="1"/>
  <c r="I11" i="1"/>
  <c r="C11" i="1"/>
  <c r="I19" i="1"/>
  <c r="C19" i="1"/>
  <c r="I27" i="1"/>
  <c r="C27" i="1"/>
  <c r="M18" i="1"/>
  <c r="M11" i="1"/>
  <c r="M19" i="1"/>
  <c r="M27" i="1"/>
  <c r="F31" i="1"/>
  <c r="F27" i="1"/>
  <c r="F23" i="1"/>
  <c r="F19" i="1"/>
  <c r="F15" i="1"/>
  <c r="F11" i="1"/>
</calcChain>
</file>

<file path=xl/sharedStrings.xml><?xml version="1.0" encoding="utf-8"?>
<sst xmlns="http://schemas.openxmlformats.org/spreadsheetml/2006/main" count="316" uniqueCount="165">
  <si>
    <t>Geschl. w/m</t>
  </si>
  <si>
    <t>m</t>
  </si>
  <si>
    <t>Jeliffe 2</t>
  </si>
  <si>
    <t>Cockroft</t>
  </si>
  <si>
    <t>Bjornson</t>
  </si>
  <si>
    <t>Hull</t>
  </si>
  <si>
    <t>Gates</t>
  </si>
  <si>
    <t>4-MDRD</t>
  </si>
  <si>
    <t>Gewicht Kg</t>
  </si>
  <si>
    <t>Cystatin-C mg/l</t>
  </si>
  <si>
    <t>Krea mg/dl</t>
  </si>
  <si>
    <t>Alter:</t>
  </si>
  <si>
    <t>w</t>
  </si>
  <si>
    <t>Geschlecht</t>
  </si>
  <si>
    <t>Alter</t>
  </si>
  <si>
    <t>6-MDRD</t>
  </si>
  <si>
    <t>Salazar</t>
  </si>
  <si>
    <t>Le Bricon</t>
  </si>
  <si>
    <t>Hoek</t>
  </si>
  <si>
    <t>Filler</t>
  </si>
  <si>
    <t>Larsson D-B</t>
  </si>
  <si>
    <t>Larson Dako</t>
  </si>
  <si>
    <t>Rule</t>
  </si>
  <si>
    <t>Grubb 1</t>
  </si>
  <si>
    <t>Grubb 2</t>
  </si>
  <si>
    <t>S,A,G</t>
  </si>
  <si>
    <t>S</t>
  </si>
  <si>
    <t>S,A</t>
  </si>
  <si>
    <t>S,G,Hö,Bun</t>
  </si>
  <si>
    <t>S,A,G,Hö</t>
  </si>
  <si>
    <t>S,A,(N), Alb,Bun</t>
  </si>
  <si>
    <t>S,A,(N)</t>
  </si>
  <si>
    <t>MacIsac</t>
  </si>
  <si>
    <t>Sjöström Dako</t>
  </si>
  <si>
    <t>Jahr:</t>
  </si>
  <si>
    <t>Misst:</t>
  </si>
  <si>
    <t>Bemerkung:</t>
  </si>
  <si>
    <t>Kinder</t>
  </si>
  <si>
    <t>Walser</t>
  </si>
  <si>
    <t>NI</t>
  </si>
  <si>
    <t>GFR/3m^2</t>
  </si>
  <si>
    <t>Methode:</t>
  </si>
  <si>
    <t>Picrat</t>
  </si>
  <si>
    <t>NI &gt; 2mg/dl</t>
  </si>
  <si>
    <t>Edwards</t>
  </si>
  <si>
    <t>Davis</t>
  </si>
  <si>
    <t>ml/min/1.73 m2.</t>
  </si>
  <si>
    <t>ml/min</t>
  </si>
  <si>
    <t>Örebro-Dako</t>
  </si>
  <si>
    <t>-</t>
  </si>
  <si>
    <t>Alle</t>
  </si>
  <si>
    <t>mL/min</t>
  </si>
  <si>
    <t>&gt;18&lt;70 J.</t>
  </si>
  <si>
    <t>NTX</t>
  </si>
  <si>
    <t>Adipositas</t>
  </si>
  <si>
    <t>Ni, Kinder</t>
  </si>
  <si>
    <t>NI, Kinder</t>
  </si>
  <si>
    <t>Leberzirrhose</t>
  </si>
  <si>
    <t>Dade-Behring</t>
  </si>
  <si>
    <t>Jeliffe 1</t>
  </si>
  <si>
    <t>Mawer</t>
  </si>
  <si>
    <t>&lt;14J*1,384</t>
  </si>
  <si>
    <t>Testpatient:</t>
  </si>
  <si>
    <t>Grau =Kreablind.</t>
  </si>
  <si>
    <t>GFR</t>
  </si>
  <si>
    <t>ICD</t>
  </si>
  <si>
    <t>Stadium</t>
  </si>
  <si>
    <t>&gt; 90</t>
  </si>
  <si>
    <t>60-89</t>
  </si>
  <si>
    <t xml:space="preserve"> 30-59</t>
  </si>
  <si>
    <t>15-29</t>
  </si>
  <si>
    <t>&lt; 15</t>
  </si>
  <si>
    <t>N18.81</t>
  </si>
  <si>
    <t xml:space="preserve"> ...mit normaler Nierenfunktion </t>
  </si>
  <si>
    <t>N18.82</t>
  </si>
  <si>
    <t>...mit milder Funktionseinschränkung</t>
  </si>
  <si>
    <t>N18.83</t>
  </si>
  <si>
    <t xml:space="preserve">...mit moderater Funktionseinschränkung </t>
  </si>
  <si>
    <t>N18.84</t>
  </si>
  <si>
    <t xml:space="preserve">...mit schwerer Funktionseinschränkung </t>
  </si>
  <si>
    <t>N18.0</t>
  </si>
  <si>
    <t>Chronisches Nierenversagen</t>
  </si>
  <si>
    <t>Nötige Informationen:</t>
  </si>
  <si>
    <t>SA</t>
  </si>
  <si>
    <t>Schwartz</t>
  </si>
  <si>
    <t>Schwartz Bedside</t>
  </si>
  <si>
    <t>Höhe</t>
  </si>
  <si>
    <t>Kg</t>
  </si>
  <si>
    <t>cm</t>
  </si>
  <si>
    <t>Kreatinin</t>
  </si>
  <si>
    <t>mmol/l</t>
  </si>
  <si>
    <t>Hö</t>
  </si>
  <si>
    <t>Enzym</t>
  </si>
  <si>
    <t>Zappitelli</t>
  </si>
  <si>
    <t>Transplantiert</t>
  </si>
  <si>
    <t>0=nein/1=Ja</t>
  </si>
  <si>
    <t>Bouvet</t>
  </si>
  <si>
    <t>Krea+Alt+Gew</t>
  </si>
  <si>
    <t>Kombi</t>
  </si>
  <si>
    <t>Grubb CAPA</t>
  </si>
  <si>
    <t>CKD-Epi</t>
  </si>
  <si>
    <t>Normal+NI</t>
  </si>
  <si>
    <t>Albumin</t>
  </si>
  <si>
    <t>g/l</t>
  </si>
  <si>
    <t>Afroamerikaner</t>
  </si>
  <si>
    <t>Ja/Nein</t>
  </si>
  <si>
    <t>Ja</t>
  </si>
  <si>
    <t>Nein</t>
  </si>
  <si>
    <t>mg/dl</t>
  </si>
  <si>
    <t>Krea µmol/l</t>
  </si>
  <si>
    <t>µmol/l</t>
  </si>
  <si>
    <t>&gt;18&lt;70 J. NI</t>
  </si>
  <si>
    <t>BUN</t>
  </si>
  <si>
    <t>HST</t>
  </si>
  <si>
    <t>J/Nein</t>
  </si>
  <si>
    <t>Nankivell 1</t>
  </si>
  <si>
    <t>65-85 J</t>
  </si>
  <si>
    <t>Baracsky</t>
  </si>
  <si>
    <t>S,A,H,G</t>
  </si>
  <si>
    <t>Toto</t>
  </si>
  <si>
    <t>Hypertone
Afroamerikaner</t>
  </si>
  <si>
    <t>Nguyen</t>
  </si>
  <si>
    <t>A</t>
  </si>
  <si>
    <t>DM Typ-II
Normalbereich</t>
  </si>
  <si>
    <t>S;A</t>
  </si>
  <si>
    <t>Rule/Mayo</t>
  </si>
  <si>
    <t>Erwachsene+Kinder
1b 1 Jahr.
IFCC Standardisiert</t>
  </si>
  <si>
    <t>CKD-Epi-Cystatin</t>
  </si>
  <si>
    <t>Erwachsene
Siemens
Nephelometer</t>
  </si>
  <si>
    <t>Krea + Transplant?
Spina Bifida?</t>
  </si>
  <si>
    <t>Alter, Geschlecht</t>
  </si>
  <si>
    <t>+Krea+Bun+
H+S</t>
  </si>
  <si>
    <t>Kinder
Nierenkrank
15-75 ml/min per 1.73m2.</t>
  </si>
  <si>
    <t>Counahan-
Barret</t>
  </si>
  <si>
    <t>H</t>
  </si>
  <si>
    <t>Kinder
NI</t>
  </si>
  <si>
    <t>Picrat
"true creatine"</t>
  </si>
  <si>
    <t>mg/dl-&gt;µmol</t>
  </si>
  <si>
    <t>µmol-&gt;mg/dl</t>
  </si>
  <si>
    <t>A,G,(N),BUN,Crea</t>
  </si>
  <si>
    <t>Grün= GFR OK &gt;140.</t>
  </si>
  <si>
    <t>Blau = NI Stadium I</t>
  </si>
  <si>
    <t>Orange = NI Stadium II</t>
  </si>
  <si>
    <t>Nötige Informationen</t>
  </si>
  <si>
    <t>Besonderheit</t>
  </si>
  <si>
    <t>Rot = NI Stadium III und darunter</t>
  </si>
  <si>
    <t>=Umrechnung µmol/l
auf mg/dl:</t>
  </si>
  <si>
    <t>=Umrechnung
µmol/l auf mg/dl:</t>
  </si>
  <si>
    <t>CKD-Epi-Cystatin-
Creatinin</t>
  </si>
  <si>
    <t>Für CKD-EpI Krea:</t>
  </si>
  <si>
    <t>Herkunft</t>
  </si>
  <si>
    <t>Grenze_Screa</t>
  </si>
  <si>
    <t>Grenze_Scyc</t>
  </si>
  <si>
    <t>a_ohne</t>
  </si>
  <si>
    <t>a_mit</t>
  </si>
  <si>
    <t>B_ohne</t>
  </si>
  <si>
    <t>b_mit</t>
  </si>
  <si>
    <t>Female</t>
  </si>
  <si>
    <t>Male</t>
  </si>
  <si>
    <t>Diff</t>
  </si>
  <si>
    <t>Erwachsene</t>
  </si>
  <si>
    <t>Älter 70 Jahre</t>
  </si>
  <si>
    <t>BIS-I</t>
  </si>
  <si>
    <t>BIS-II</t>
  </si>
  <si>
    <t>Alter+Geschlecht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</si>
</sst>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right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9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7" xfId="0" applyBorder="1"/>
    <xf numFmtId="0" fontId="0" fillId="0" borderId="9" xfId="0" applyBorder="1" applyAlignment="1">
      <alignment horizontal="right"/>
    </xf>
    <xf numFmtId="2" fontId="0" fillId="0" borderId="6" xfId="0" applyNumberFormat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6" fillId="0" borderId="0" xfId="0" applyFont="1"/>
    <xf numFmtId="0" fontId="0" fillId="0" borderId="0" xfId="0" applyFont="1" applyFill="1" applyBorder="1" applyAlignment="1">
      <alignment horizontal="center"/>
    </xf>
    <xf numFmtId="0" fontId="6" fillId="0" borderId="0" xfId="0" quotePrefix="1" applyFont="1"/>
    <xf numFmtId="0" fontId="2" fillId="0" borderId="0" xfId="0" applyFont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/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center" wrapText="1"/>
    </xf>
    <xf numFmtId="2" fontId="0" fillId="0" borderId="4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5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5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/>
    </xf>
    <xf numFmtId="0" fontId="2" fillId="0" borderId="0" xfId="0" quotePrefix="1" applyFont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</cellXfs>
  <cellStyles count="1">
    <cellStyle name="Standard" xfId="0" builtinId="0"/>
  </cellStyles>
  <dxfs count="28">
    <dxf>
      <fill>
        <patternFill>
          <bgColor indexed="1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05"/>
  <sheetViews>
    <sheetView topLeftCell="Q4" zoomScaleNormal="100" workbookViewId="0">
      <selection activeCell="S44" sqref="S44"/>
    </sheetView>
  </sheetViews>
  <sheetFormatPr baseColWidth="10" defaultRowHeight="12.75" x14ac:dyDescent="0.2"/>
  <cols>
    <col min="2" max="2" width="12.5703125" customWidth="1"/>
    <col min="3" max="3" width="15.5703125" customWidth="1"/>
    <col min="4" max="4" width="15.85546875" customWidth="1"/>
    <col min="5" max="5" width="16.140625" customWidth="1"/>
    <col min="18" max="18" width="15.42578125" customWidth="1"/>
    <col min="19" max="19" width="10.42578125" customWidth="1"/>
    <col min="23" max="24" width="16" customWidth="1"/>
    <col min="25" max="25" width="12.42578125" bestFit="1" customWidth="1"/>
    <col min="26" max="26" width="13.42578125" customWidth="1"/>
    <col min="34" max="35" width="12.7109375" customWidth="1"/>
    <col min="40" max="40" width="18.7109375" customWidth="1"/>
    <col min="41" max="41" width="12.140625" customWidth="1"/>
    <col min="42" max="43" width="16.140625" customWidth="1"/>
    <col min="44" max="44" width="15" customWidth="1"/>
  </cols>
  <sheetData>
    <row r="1" spans="1:44" x14ac:dyDescent="0.2">
      <c r="A1" s="22"/>
      <c r="B1" s="28" t="s">
        <v>34</v>
      </c>
      <c r="C1" s="15">
        <v>1959</v>
      </c>
      <c r="D1" s="15">
        <v>1971</v>
      </c>
      <c r="E1" s="15">
        <v>1972</v>
      </c>
      <c r="F1" s="15">
        <v>1973</v>
      </c>
      <c r="G1" s="15">
        <v>1976</v>
      </c>
      <c r="H1" s="15">
        <v>1976</v>
      </c>
      <c r="I1" s="15">
        <v>1979</v>
      </c>
      <c r="J1" s="15">
        <v>1981</v>
      </c>
      <c r="K1" s="15">
        <v>1985</v>
      </c>
      <c r="L1" s="15">
        <v>1992</v>
      </c>
      <c r="M1" s="15">
        <v>1996</v>
      </c>
      <c r="N1" s="15">
        <v>1996</v>
      </c>
      <c r="O1" s="15">
        <v>1997</v>
      </c>
      <c r="P1" s="15">
        <v>1997</v>
      </c>
      <c r="Q1" s="15">
        <v>2000</v>
      </c>
      <c r="R1" s="15">
        <v>1999</v>
      </c>
      <c r="S1" s="15">
        <v>1995</v>
      </c>
      <c r="T1" s="15">
        <v>2009</v>
      </c>
      <c r="U1" s="15">
        <v>1988</v>
      </c>
      <c r="V1" s="18">
        <v>2004</v>
      </c>
      <c r="W1" s="18">
        <v>2009</v>
      </c>
      <c r="X1" s="19">
        <v>2012</v>
      </c>
      <c r="Y1" s="2">
        <v>2012</v>
      </c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79"/>
      <c r="AQ1" s="79"/>
      <c r="AR1" s="41"/>
    </row>
    <row r="2" spans="1:44" x14ac:dyDescent="0.2">
      <c r="A2" s="23"/>
      <c r="B2" s="29" t="s">
        <v>35</v>
      </c>
      <c r="C2" s="24"/>
      <c r="D2" s="18" t="s">
        <v>47</v>
      </c>
      <c r="E2" s="18" t="s">
        <v>47</v>
      </c>
      <c r="F2" s="18" t="s">
        <v>47</v>
      </c>
      <c r="G2" s="17" t="s">
        <v>46</v>
      </c>
      <c r="H2" s="18" t="s">
        <v>51</v>
      </c>
      <c r="I2" s="20"/>
      <c r="J2" s="20"/>
      <c r="K2" s="20"/>
      <c r="L2" s="20" t="s">
        <v>40</v>
      </c>
      <c r="M2" s="20"/>
      <c r="N2" s="17" t="s">
        <v>46</v>
      </c>
      <c r="O2" s="17" t="s">
        <v>46</v>
      </c>
      <c r="P2" s="54" t="s">
        <v>47</v>
      </c>
      <c r="Q2" s="17" t="s">
        <v>46</v>
      </c>
      <c r="R2" s="45" t="s">
        <v>46</v>
      </c>
      <c r="S2" s="45" t="s">
        <v>47</v>
      </c>
      <c r="T2" s="20" t="s">
        <v>46</v>
      </c>
      <c r="U2" s="20"/>
      <c r="V2" s="20"/>
      <c r="W2" s="45" t="s">
        <v>46</v>
      </c>
      <c r="X2" s="48" t="s">
        <v>46</v>
      </c>
      <c r="Y2" s="48" t="s">
        <v>46</v>
      </c>
      <c r="Z2" s="80"/>
      <c r="AA2" s="81"/>
      <c r="AB2" s="81"/>
      <c r="AC2" s="81"/>
      <c r="AD2" s="41"/>
      <c r="AE2" s="41"/>
      <c r="AF2" s="81"/>
      <c r="AG2" s="81"/>
      <c r="AH2" s="81"/>
      <c r="AI2" s="81"/>
      <c r="AJ2" s="41"/>
      <c r="AK2" s="41"/>
      <c r="AL2" s="41"/>
      <c r="AM2" s="81"/>
      <c r="AN2" s="82"/>
      <c r="AO2" s="41"/>
      <c r="AP2" s="79"/>
      <c r="AQ2" s="79"/>
      <c r="AR2" s="79"/>
    </row>
    <row r="3" spans="1:44" ht="33.75" x14ac:dyDescent="0.2">
      <c r="A3" s="23"/>
      <c r="B3" s="29" t="s">
        <v>36</v>
      </c>
      <c r="C3" s="18" t="s">
        <v>49</v>
      </c>
      <c r="D3" s="18" t="s">
        <v>39</v>
      </c>
      <c r="E3" s="18" t="s">
        <v>39</v>
      </c>
      <c r="F3" s="18" t="s">
        <v>39</v>
      </c>
      <c r="G3" s="62" t="s">
        <v>135</v>
      </c>
      <c r="H3" s="18" t="s">
        <v>39</v>
      </c>
      <c r="I3" s="18" t="s">
        <v>39</v>
      </c>
      <c r="J3" s="18" t="s">
        <v>57</v>
      </c>
      <c r="K3" s="18" t="s">
        <v>39</v>
      </c>
      <c r="L3" s="18" t="s">
        <v>43</v>
      </c>
      <c r="M3" s="18" t="s">
        <v>39</v>
      </c>
      <c r="N3" s="58" t="s">
        <v>120</v>
      </c>
      <c r="O3" s="58" t="s">
        <v>123</v>
      </c>
      <c r="P3" s="54" t="s">
        <v>116</v>
      </c>
      <c r="Q3" s="54" t="s">
        <v>111</v>
      </c>
      <c r="R3" s="18" t="s">
        <v>39</v>
      </c>
      <c r="S3" s="18" t="s">
        <v>53</v>
      </c>
      <c r="T3" s="18" t="s">
        <v>52</v>
      </c>
      <c r="U3" s="18" t="s">
        <v>54</v>
      </c>
      <c r="V3" s="54" t="s">
        <v>39</v>
      </c>
      <c r="W3" s="18" t="s">
        <v>37</v>
      </c>
      <c r="X3" s="19" t="s">
        <v>37</v>
      </c>
      <c r="Y3" s="50" t="s">
        <v>161</v>
      </c>
      <c r="Z3" s="80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79"/>
      <c r="AM3" s="60"/>
      <c r="AN3" s="43"/>
      <c r="AO3" s="43"/>
      <c r="AP3" s="59"/>
      <c r="AQ3" s="59"/>
      <c r="AR3" s="59"/>
    </row>
    <row r="4" spans="1:44" x14ac:dyDescent="0.2">
      <c r="A4" s="23"/>
      <c r="B4" s="40" t="s">
        <v>82</v>
      </c>
      <c r="C4" s="18" t="s">
        <v>26</v>
      </c>
      <c r="D4" s="18" t="s">
        <v>26</v>
      </c>
      <c r="E4" s="18" t="s">
        <v>25</v>
      </c>
      <c r="F4" s="18" t="s">
        <v>27</v>
      </c>
      <c r="G4" s="54" t="s">
        <v>134</v>
      </c>
      <c r="H4" s="18" t="s">
        <v>25</v>
      </c>
      <c r="I4" s="18" t="s">
        <v>25</v>
      </c>
      <c r="J4" s="18" t="s">
        <v>25</v>
      </c>
      <c r="K4" s="18" t="s">
        <v>27</v>
      </c>
      <c r="L4" s="18" t="s">
        <v>25</v>
      </c>
      <c r="M4" s="18" t="s">
        <v>27</v>
      </c>
      <c r="N4" s="54" t="s">
        <v>118</v>
      </c>
      <c r="O4" s="54" t="s">
        <v>122</v>
      </c>
      <c r="P4" s="54" t="s">
        <v>26</v>
      </c>
      <c r="Q4" s="18" t="s">
        <v>31</v>
      </c>
      <c r="R4" s="18" t="s">
        <v>30</v>
      </c>
      <c r="S4" s="18" t="s">
        <v>28</v>
      </c>
      <c r="T4" s="18" t="s">
        <v>31</v>
      </c>
      <c r="U4" s="18" t="s">
        <v>29</v>
      </c>
      <c r="V4" s="54" t="s">
        <v>124</v>
      </c>
      <c r="W4" s="18" t="s">
        <v>91</v>
      </c>
      <c r="X4" s="18" t="s">
        <v>91</v>
      </c>
      <c r="Y4" s="54" t="s">
        <v>124</v>
      </c>
      <c r="Z4" s="80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83"/>
      <c r="AO4" s="83"/>
      <c r="AP4" s="83"/>
      <c r="AQ4" s="83"/>
      <c r="AR4" s="83"/>
    </row>
    <row r="5" spans="1:44" ht="39" thickBot="1" x14ac:dyDescent="0.25">
      <c r="A5" s="32"/>
      <c r="B5" s="33" t="s">
        <v>41</v>
      </c>
      <c r="C5" s="21" t="s">
        <v>42</v>
      </c>
      <c r="D5" s="21" t="s">
        <v>42</v>
      </c>
      <c r="E5" s="21" t="s">
        <v>42</v>
      </c>
      <c r="F5" s="21" t="s">
        <v>42</v>
      </c>
      <c r="G5" s="63" t="s">
        <v>136</v>
      </c>
      <c r="H5" s="21" t="s">
        <v>42</v>
      </c>
      <c r="I5" s="21" t="s">
        <v>42</v>
      </c>
      <c r="J5" s="21" t="s">
        <v>42</v>
      </c>
      <c r="K5" s="21" t="s">
        <v>42</v>
      </c>
      <c r="L5" s="21" t="s">
        <v>42</v>
      </c>
      <c r="M5" s="21" t="s">
        <v>42</v>
      </c>
      <c r="N5" s="51" t="s">
        <v>42</v>
      </c>
      <c r="O5" s="51"/>
      <c r="P5" s="51" t="s">
        <v>42</v>
      </c>
      <c r="Q5" s="51" t="s">
        <v>42</v>
      </c>
      <c r="R5" s="51" t="s">
        <v>42</v>
      </c>
      <c r="S5" s="51" t="s">
        <v>42</v>
      </c>
      <c r="T5" s="51" t="s">
        <v>92</v>
      </c>
      <c r="U5" s="21"/>
      <c r="V5" s="54" t="s">
        <v>92</v>
      </c>
      <c r="W5" s="55" t="s">
        <v>92</v>
      </c>
      <c r="X5" s="55" t="s">
        <v>92</v>
      </c>
      <c r="Y5" s="54" t="s">
        <v>92</v>
      </c>
      <c r="Z5" s="80"/>
      <c r="AA5" s="84"/>
      <c r="AB5" s="84"/>
      <c r="AC5" s="84"/>
      <c r="AD5" s="84"/>
      <c r="AE5" s="84"/>
      <c r="AF5" s="85"/>
      <c r="AG5" s="85"/>
      <c r="AH5" s="84"/>
      <c r="AI5" s="84"/>
      <c r="AJ5" s="84"/>
      <c r="AK5" s="84"/>
      <c r="AL5" s="84"/>
      <c r="AM5" s="86"/>
      <c r="AN5" s="87"/>
      <c r="AO5" s="88"/>
      <c r="AP5" s="89"/>
      <c r="AQ5" s="89"/>
      <c r="AR5" s="88"/>
    </row>
    <row r="6" spans="1:44" ht="23.25" thickBot="1" x14ac:dyDescent="0.25">
      <c r="A6" s="53" t="s">
        <v>109</v>
      </c>
      <c r="B6" s="30" t="s">
        <v>10</v>
      </c>
      <c r="C6" s="39" t="s">
        <v>44</v>
      </c>
      <c r="D6" s="39" t="s">
        <v>59</v>
      </c>
      <c r="E6" s="31" t="s">
        <v>60</v>
      </c>
      <c r="F6" s="31" t="s">
        <v>2</v>
      </c>
      <c r="G6" s="61" t="s">
        <v>133</v>
      </c>
      <c r="H6" s="31" t="s">
        <v>3</v>
      </c>
      <c r="I6" s="31" t="s">
        <v>4</v>
      </c>
      <c r="J6" s="31" t="s">
        <v>5</v>
      </c>
      <c r="K6" s="31" t="s">
        <v>6</v>
      </c>
      <c r="L6" s="31" t="s">
        <v>38</v>
      </c>
      <c r="M6" s="31" t="s">
        <v>45</v>
      </c>
      <c r="N6" s="49" t="s">
        <v>119</v>
      </c>
      <c r="O6" s="49" t="s">
        <v>121</v>
      </c>
      <c r="P6" s="49" t="s">
        <v>117</v>
      </c>
      <c r="Q6" s="31" t="s">
        <v>7</v>
      </c>
      <c r="R6" s="49" t="s">
        <v>15</v>
      </c>
      <c r="S6" s="49" t="s">
        <v>115</v>
      </c>
      <c r="T6" s="49" t="s">
        <v>100</v>
      </c>
      <c r="U6" s="31" t="s">
        <v>16</v>
      </c>
      <c r="V6" s="49" t="s">
        <v>125</v>
      </c>
      <c r="W6" s="56" t="s">
        <v>85</v>
      </c>
      <c r="X6" s="56" t="s">
        <v>85</v>
      </c>
      <c r="Y6" s="57" t="s">
        <v>162</v>
      </c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1"/>
      <c r="AR6" s="90"/>
    </row>
    <row r="7" spans="1:44" x14ac:dyDescent="0.2">
      <c r="A7" s="25">
        <v>70</v>
      </c>
      <c r="B7" s="34">
        <f t="shared" ref="B7:B32" si="0">A7*$A$41</f>
        <v>0.79170000000000007</v>
      </c>
      <c r="C7" s="3">
        <f>IF($B$35="m",(94.3/B7)-1.8,(69.9/B7)+2.2)</f>
        <v>117.31077428318807</v>
      </c>
      <c r="D7" s="3">
        <f>((IF($B$35="m",100,80)/(B7)))-(IF($B$35="m",12,7))</f>
        <v>114.31047113805734</v>
      </c>
      <c r="E7" s="3">
        <f>(($B$36*(IF($B$35="m",29.3,25.3)-(IF($B$35="m",0.203,0.175)*$B$34)))*(1-(0.03*B7)))/((14.4*B7)*(70/$B$36))</f>
        <v>103.83677508221459</v>
      </c>
      <c r="F7" s="3">
        <f>((98-(0.8*($B$34-20)))/B7)*IF($B$35="m",1,0.9)</f>
        <v>73.260073260073256</v>
      </c>
      <c r="G7" s="3">
        <f>0.43*($B$37/B7)</f>
        <v>76.038903625110507</v>
      </c>
      <c r="H7" s="3">
        <f>(((140-$B$34)*$B$36)/(B7*72))*IF(B35="m",1,0.85)</f>
        <v>92.101385204833463</v>
      </c>
      <c r="I7" s="3">
        <f>((IF($B$35="m",27,25)-((IF($B$35="m",0.173,0.175)*$B$34)))*($B$36*0.07))/B7</f>
        <v>98.74005305039789</v>
      </c>
      <c r="J7" s="3">
        <f>(((145-$B$34)/B7)-3)*($B$36/70)*IF($B$35="m",1,0.85)</f>
        <v>98.285200021653225</v>
      </c>
      <c r="K7" s="3">
        <f>IF($B$35="m",(89.4*(POWER(B7,-1.2)))+(55-$B$34)*(0.477*(POWER(B7,-1.1))),(60*(POWER(B7,-1.1)))+(56-$B$34)*(0.3*(POWER(B7,-1.1))))</f>
        <v>109.07070325626817</v>
      </c>
      <c r="L7" s="3">
        <f>IF(B35="m",(7.57/(A7/1000))-(0.103*$B$34)+(0.096*$B$36)-6.6,(6.05/(A7/1000))-(0.08*$B$34)+(0.08*$B$36)-4.81)</f>
        <v>101.53285714285715</v>
      </c>
      <c r="M7" s="3">
        <f t="shared" ref="M7:M32" si="1">(140-$B$34)/B7*IF($B$35="m",1,0.85)</f>
        <v>88.417329796640132</v>
      </c>
      <c r="N7" s="3">
        <f>IF($B$35 ="m",(-0.3*($B$34-52))+(105/B7)+($B$36-86),(-0.29*($B$34-52))+(88/B7)+(0.77*(($B$36/POWER(($B$37/100),2))-30)))</f>
        <v>116.22599469496021</v>
      </c>
      <c r="O7" s="3">
        <f>218.1-(0.916*$B$34)-(0.635*A7)</f>
        <v>109.52999999999999</v>
      </c>
      <c r="P7" s="3">
        <f>(0.5*(100/B7))+88-$B$34</f>
        <v>81.155235569028662</v>
      </c>
      <c r="Q7" s="71">
        <f t="shared" ref="Q7:Q32" si="2">((186*(POWER(B7,-1.154)))*(POWER($B$34,-0.203)))*IF($B$35="m",1,0.742)*IF($B$46="Ja",1.21,1)</f>
        <v>102.80614108213345</v>
      </c>
      <c r="R7" s="3">
        <f t="shared" ref="R7:R32" si="3">((170*(POWER(B7,-0.999)))*(POWER($B$34,-0.176))*(POWER($B$49,-0.17)*(POWER($B$45,0.318)*IF($B$35="m",1,0.762)*IF($B$46="Ja",1.21,1))))</f>
        <v>189.14417655359475</v>
      </c>
      <c r="S7" s="3">
        <f t="shared" ref="S7:S32" si="4">(6700/A7)+($B$36/4)-($B$44/2)-(100/(POWER(($B$37/100),2)))+IF($B$35="m",35,25)</f>
        <v>96.543877551020387</v>
      </c>
      <c r="T7" s="3">
        <f t="shared" ref="T7:T32" si="5">IF($B$34&lt;18,"Zu jung!",IF($B$35="m",IF(A7&gt;=80,POWER((A7*0.01131)/0.9,-1.209)*141*1*POWER(0.993,$B$34),POWER((A7*0.01131)/0.9,-0.411)*141*1*POWER(0.993,$B$34)),IF(A7&gt;=62,POWER((A7*0.01131)/0.7,-1.209)*141*1.018*POWER(0.993,$B$34),POWER((A7*0.01131)/0.7,-0.329)*141*1.018*POWER(0.993,$B$34))))</f>
        <v>90.89746125377529</v>
      </c>
      <c r="U7" s="3">
        <f t="shared" ref="U7:U32" si="6">IF($B$35="m",((137-$B$34)*(0.285*$B$36)+(12.1*POWER(($B$37),2)))/(A7*51),((146-$B$34)*(0.287*$B$36)+(9.74*POWER(($B$37),2)))/(A7*60))</f>
        <v>66.832528011204488</v>
      </c>
      <c r="V7" s="3">
        <f>EXP(1.911+(5.249/B7)-(2.114/(B7*B7))-(0.00686*$B$34)-IF($B$35="w",-0.205,0))</f>
        <v>108.6454888535886</v>
      </c>
      <c r="W7" s="3">
        <f t="shared" ref="W7:W32" si="7">(36.5*$B$37)/A7</f>
        <v>73</v>
      </c>
      <c r="X7" s="71">
        <f t="shared" ref="X7:X32" si="8">(42.3*$B$37)/A7</f>
        <v>84.6</v>
      </c>
      <c r="Y7" s="72">
        <f>3736*POWER(B7,-0.87)*POWER($B$34,-0.95)*IF($B$35="m",1,0.87)</f>
        <v>80.87531187893731</v>
      </c>
      <c r="Z7" s="41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x14ac:dyDescent="0.2">
      <c r="A8" s="25">
        <v>80</v>
      </c>
      <c r="B8" s="34">
        <f t="shared" si="0"/>
        <v>0.90480000000000005</v>
      </c>
      <c r="C8" s="3">
        <f t="shared" ref="C8:C32" si="9">IF($B$35="m",(94.3/B8)-1.8,(69.9/B8)+2.2)</f>
        <v>102.42192749778957</v>
      </c>
      <c r="D8" s="3">
        <f t="shared" ref="D8:D32" si="10">((IF($B$35="m",100,80)/(B8)))-(IF($B$35="m",12,7))</f>
        <v>98.521662245800172</v>
      </c>
      <c r="E8" s="3">
        <f t="shared" ref="E8:E32" si="11">(($B$36*(IF($B$35="m",29.3,25.3)-(IF($B$35="m",0.203,0.175)*$B$34)))*(1-(0.03*B8)))/((14.4*B8)*(70/$B$36))</f>
        <v>90.541399737116308</v>
      </c>
      <c r="F8" s="3">
        <f t="shared" ref="F8:F32" si="12">((98-(0.8*($B$34-20)))/B8)*IF($B$35="m",1,0.9)</f>
        <v>64.102564102564102</v>
      </c>
      <c r="G8" s="3">
        <f t="shared" ref="G8:G32" si="13">0.43*($B$37/B8)</f>
        <v>66.534040671971709</v>
      </c>
      <c r="H8" s="3">
        <f t="shared" ref="H8:H32" si="14">(((140-$B$34)*$B$36)/(B8*72))*IF(B36="m",1,0.85)</f>
        <v>68.5004052460949</v>
      </c>
      <c r="I8" s="3">
        <f t="shared" ref="I8:I32" si="15">((IF($B$35="m",27,25)-((IF($B$35="m",0.173,0.175)*$B$34)))*($B$36*0.07))/B8</f>
        <v>86.397546419098148</v>
      </c>
      <c r="J8" s="3">
        <f t="shared" ref="J8:J32" si="16">(((145-$B$34)/B8)-3)*($B$36/70)*IF($B$35="m",1,0.85)</f>
        <v>85.597764304660842</v>
      </c>
      <c r="K8" s="3">
        <f t="shared" ref="K8:K32" si="17">IF($B$35="m",(89.4*(POWER(B8,-1.2)))+(55-$B$34)*(0.477*(POWER(B8,-1.1))),(60*(POWER(B8,-1.1)))+(56-$B$34)*(0.3*(POWER(B8,-1.1))))</f>
        <v>92.815887842112829</v>
      </c>
      <c r="L8" s="3">
        <f t="shared" ref="L8:L32" si="18">IF(B36="m",(7.57/(A8/1000))-(0.103*$B$34)+(0.096*$B$36)-6.6,(6.05/(A8/1000))-(0.08*$B$34)+(0.08*$B$36)-4.81)</f>
        <v>71.215000000000003</v>
      </c>
      <c r="M8" s="3">
        <f t="shared" si="1"/>
        <v>77.365163572060126</v>
      </c>
      <c r="N8" s="3">
        <f t="shared" ref="N8:N32" si="19">IF($B$35 ="m",(-0.3*($B$34-52))+(105/B8)+($B$36-86),(-0.29*($B$34-52))+(88/B8)+(0.77*(($B$36/POWER(($B$37/100),2))-30)))</f>
        <v>99.647745358090177</v>
      </c>
      <c r="O8" s="3">
        <f t="shared" ref="O8:O32" si="20">218.1-(0.916*$B$34)-(0.635*A8)</f>
        <v>103.17999999999999</v>
      </c>
      <c r="P8" s="3">
        <f t="shared" ref="P8:P31" si="21">(0.5*(100/B8))+88-$B$34</f>
        <v>73.260831122900072</v>
      </c>
      <c r="Q8" s="3">
        <f t="shared" si="2"/>
        <v>88.124436104798434</v>
      </c>
      <c r="R8" s="3">
        <f t="shared" si="3"/>
        <v>165.52325555959553</v>
      </c>
      <c r="S8" s="3">
        <f t="shared" si="4"/>
        <v>84.579591836734679</v>
      </c>
      <c r="T8" s="3">
        <f t="shared" si="5"/>
        <v>85.678847819498969</v>
      </c>
      <c r="U8" s="3">
        <f t="shared" si="6"/>
        <v>58.47846200980392</v>
      </c>
      <c r="V8" s="3">
        <f t="shared" ref="V8:V32" si="22">EXP(1.911+(5.249/B8)-(2.114/(B8*B8))-(0.00686*$B$34)-IF($B$35="w",-0.205,0))</f>
        <v>104.56648141935051</v>
      </c>
      <c r="W8" s="3">
        <f t="shared" si="7"/>
        <v>63.875</v>
      </c>
      <c r="X8" s="3">
        <f t="shared" si="8"/>
        <v>74.025000000000006</v>
      </c>
      <c r="Y8" s="7">
        <f t="shared" ref="Y8:Y32" si="23">3736*POWER(B8,-0.87)*POWER($B$34,-0.95)*IF($B$35="m",1,0.87)</f>
        <v>72.005053030931037</v>
      </c>
      <c r="Z8" s="41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x14ac:dyDescent="0.2">
      <c r="A9" s="26">
        <v>90</v>
      </c>
      <c r="B9" s="35">
        <f t="shared" si="0"/>
        <v>1.0179</v>
      </c>
      <c r="C9" s="6">
        <f t="shared" si="9"/>
        <v>90.841713331368496</v>
      </c>
      <c r="D9" s="3">
        <f t="shared" si="10"/>
        <v>86.241477551822371</v>
      </c>
      <c r="E9" s="3">
        <f t="shared" si="11"/>
        <v>80.200552246484335</v>
      </c>
      <c r="F9" s="3">
        <f t="shared" si="12"/>
        <v>56.980056980056979</v>
      </c>
      <c r="G9" s="3">
        <f t="shared" si="13"/>
        <v>59.141369486197078</v>
      </c>
      <c r="H9" s="3">
        <f t="shared" si="14"/>
        <v>60.889249107639898</v>
      </c>
      <c r="I9" s="3">
        <f t="shared" si="15"/>
        <v>76.797819039198359</v>
      </c>
      <c r="J9" s="3">
        <f t="shared" si="16"/>
        <v>75.729758747000119</v>
      </c>
      <c r="K9" s="3">
        <f t="shared" si="17"/>
        <v>80.500072495276214</v>
      </c>
      <c r="L9" s="3">
        <f t="shared" si="18"/>
        <v>62.812222222222232</v>
      </c>
      <c r="M9" s="3">
        <f t="shared" si="1"/>
        <v>68.769034286275669</v>
      </c>
      <c r="N9" s="3">
        <f t="shared" si="19"/>
        <v>86.753551429413491</v>
      </c>
      <c r="O9" s="3">
        <f t="shared" si="20"/>
        <v>96.829999999999984</v>
      </c>
      <c r="P9" s="3">
        <f t="shared" si="21"/>
        <v>67.120738775911178</v>
      </c>
      <c r="Q9" s="3">
        <f t="shared" si="2"/>
        <v>76.924793683241234</v>
      </c>
      <c r="R9" s="3">
        <f t="shared" si="3"/>
        <v>147.1491133682589</v>
      </c>
      <c r="S9" s="3">
        <f t="shared" si="4"/>
        <v>75.274036281179121</v>
      </c>
      <c r="T9" s="3">
        <f t="shared" si="5"/>
        <v>74.30708385685476</v>
      </c>
      <c r="U9" s="3">
        <f t="shared" si="6"/>
        <v>51.980855119825705</v>
      </c>
      <c r="V9" s="3">
        <f t="shared" si="22"/>
        <v>94.367029860179855</v>
      </c>
      <c r="W9" s="3">
        <f t="shared" si="7"/>
        <v>56.777777777777779</v>
      </c>
      <c r="X9" s="3">
        <f t="shared" si="8"/>
        <v>65.8</v>
      </c>
      <c r="Y9" s="7">
        <f t="shared" si="23"/>
        <v>64.992056615830407</v>
      </c>
      <c r="Z9" s="41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x14ac:dyDescent="0.2">
      <c r="A10" s="26">
        <v>100</v>
      </c>
      <c r="B10" s="35">
        <f t="shared" si="0"/>
        <v>1.131</v>
      </c>
      <c r="C10" s="6">
        <f t="shared" si="9"/>
        <v>81.577541998231652</v>
      </c>
      <c r="D10" s="3">
        <f t="shared" si="10"/>
        <v>76.417329796640146</v>
      </c>
      <c r="E10" s="3">
        <f t="shared" si="11"/>
        <v>71.927874253978771</v>
      </c>
      <c r="F10" s="3">
        <f t="shared" si="12"/>
        <v>51.282051282051285</v>
      </c>
      <c r="G10" s="3">
        <f t="shared" si="13"/>
        <v>53.227232537577365</v>
      </c>
      <c r="H10" s="3">
        <f t="shared" si="14"/>
        <v>54.80032419687592</v>
      </c>
      <c r="I10" s="3">
        <f t="shared" si="15"/>
        <v>69.118037135278527</v>
      </c>
      <c r="J10" s="3">
        <f t="shared" si="16"/>
        <v>67.835354300871543</v>
      </c>
      <c r="K10" s="3">
        <f t="shared" si="17"/>
        <v>70.873870053492013</v>
      </c>
      <c r="L10" s="3">
        <f t="shared" si="18"/>
        <v>56.089999999999989</v>
      </c>
      <c r="M10" s="3">
        <f t="shared" si="1"/>
        <v>61.892130857648098</v>
      </c>
      <c r="N10" s="3">
        <f t="shared" si="19"/>
        <v>76.438196286472149</v>
      </c>
      <c r="O10" s="3">
        <f t="shared" si="20"/>
        <v>90.47999999999999</v>
      </c>
      <c r="P10" s="3">
        <f t="shared" si="21"/>
        <v>62.20866489832008</v>
      </c>
      <c r="Q10" s="3">
        <f t="shared" si="2"/>
        <v>68.118048273480326</v>
      </c>
      <c r="R10" s="3">
        <f t="shared" si="3"/>
        <v>132.4481561023409</v>
      </c>
      <c r="S10" s="3">
        <f t="shared" si="4"/>
        <v>67.829591836734679</v>
      </c>
      <c r="T10" s="3">
        <f t="shared" si="5"/>
        <v>65.41983009892769</v>
      </c>
      <c r="U10" s="3">
        <f t="shared" si="6"/>
        <v>46.782769607843136</v>
      </c>
      <c r="V10" s="3">
        <f t="shared" si="22"/>
        <v>83.028164650665886</v>
      </c>
      <c r="W10" s="3">
        <f t="shared" si="7"/>
        <v>51.1</v>
      </c>
      <c r="X10" s="3">
        <f t="shared" si="8"/>
        <v>59.22</v>
      </c>
      <c r="Y10" s="7">
        <f t="shared" si="23"/>
        <v>59.299531644021222</v>
      </c>
      <c r="Z10" s="41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">
      <c r="A11" s="26">
        <v>110</v>
      </c>
      <c r="B11" s="35">
        <f t="shared" si="0"/>
        <v>1.2441</v>
      </c>
      <c r="C11" s="6">
        <f t="shared" si="9"/>
        <v>73.99776545293787</v>
      </c>
      <c r="D11" s="3">
        <f t="shared" si="10"/>
        <v>68.379390724218311</v>
      </c>
      <c r="E11" s="3">
        <f t="shared" si="11"/>
        <v>65.159319532837856</v>
      </c>
      <c r="F11" s="3">
        <f t="shared" si="12"/>
        <v>46.620046620046622</v>
      </c>
      <c r="G11" s="3">
        <f t="shared" si="13"/>
        <v>48.388393215979427</v>
      </c>
      <c r="H11" s="3">
        <f t="shared" si="14"/>
        <v>49.818476542614476</v>
      </c>
      <c r="I11" s="3">
        <f t="shared" si="15"/>
        <v>62.834579213889569</v>
      </c>
      <c r="J11" s="3">
        <f t="shared" si="16"/>
        <v>61.37629611767543</v>
      </c>
      <c r="K11" s="3">
        <f t="shared" si="17"/>
        <v>63.160865428899896</v>
      </c>
      <c r="L11" s="3">
        <f t="shared" si="18"/>
        <v>50.589999999999996</v>
      </c>
      <c r="M11" s="3">
        <f t="shared" si="1"/>
        <v>56.265573506952819</v>
      </c>
      <c r="N11" s="3">
        <f t="shared" si="19"/>
        <v>67.998360260429223</v>
      </c>
      <c r="O11" s="3">
        <f t="shared" si="20"/>
        <v>84.13</v>
      </c>
      <c r="P11" s="3">
        <f t="shared" si="21"/>
        <v>58.189695362109148</v>
      </c>
      <c r="Q11" s="3">
        <f t="shared" si="2"/>
        <v>61.023208351301385</v>
      </c>
      <c r="R11" s="3">
        <f t="shared" si="3"/>
        <v>120.41889123774038</v>
      </c>
      <c r="S11" s="3">
        <f t="shared" si="4"/>
        <v>61.738682745825585</v>
      </c>
      <c r="T11" s="3">
        <f t="shared" si="5"/>
        <v>58.299610807142606</v>
      </c>
      <c r="U11" s="3">
        <f t="shared" si="6"/>
        <v>42.529790552584672</v>
      </c>
      <c r="V11" s="3">
        <f t="shared" si="22"/>
        <v>72.536601221821655</v>
      </c>
      <c r="W11" s="3">
        <f t="shared" si="7"/>
        <v>46.454545454545453</v>
      </c>
      <c r="X11" s="3">
        <f t="shared" si="8"/>
        <v>53.836363636363636</v>
      </c>
      <c r="Y11" s="7">
        <f t="shared" si="23"/>
        <v>54.580766100371363</v>
      </c>
      <c r="Z11" s="41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">
      <c r="A12" s="26">
        <v>120</v>
      </c>
      <c r="B12" s="35">
        <f t="shared" si="0"/>
        <v>1.3572000000000002</v>
      </c>
      <c r="C12" s="6">
        <f t="shared" si="9"/>
        <v>67.681284998526365</v>
      </c>
      <c r="D12" s="3">
        <f t="shared" si="10"/>
        <v>61.681108163866782</v>
      </c>
      <c r="E12" s="3">
        <f t="shared" si="11"/>
        <v>59.518857265220412</v>
      </c>
      <c r="F12" s="3">
        <f t="shared" si="12"/>
        <v>42.735042735042732</v>
      </c>
      <c r="G12" s="3">
        <f t="shared" si="13"/>
        <v>44.356027114647794</v>
      </c>
      <c r="H12" s="3">
        <f t="shared" si="14"/>
        <v>45.666936830729924</v>
      </c>
      <c r="I12" s="3">
        <f t="shared" si="15"/>
        <v>57.598364279398766</v>
      </c>
      <c r="J12" s="3">
        <f t="shared" si="16"/>
        <v>55.993747631678652</v>
      </c>
      <c r="K12" s="3">
        <f t="shared" si="17"/>
        <v>56.854330072168523</v>
      </c>
      <c r="L12" s="3">
        <f t="shared" si="18"/>
        <v>46.006666666666661</v>
      </c>
      <c r="M12" s="3">
        <f t="shared" si="1"/>
        <v>51.576775714706741</v>
      </c>
      <c r="N12" s="3">
        <f t="shared" si="19"/>
        <v>60.965163572060106</v>
      </c>
      <c r="O12" s="3">
        <f t="shared" si="20"/>
        <v>77.779999999999987</v>
      </c>
      <c r="P12" s="3">
        <f t="shared" si="21"/>
        <v>54.840554081933391</v>
      </c>
      <c r="Q12" s="3">
        <f t="shared" si="2"/>
        <v>55.193386015493971</v>
      </c>
      <c r="R12" s="3">
        <f t="shared" si="3"/>
        <v>110.39358871487856</v>
      </c>
      <c r="S12" s="3">
        <f t="shared" si="4"/>
        <v>56.662925170068021</v>
      </c>
      <c r="T12" s="3">
        <f t="shared" si="5"/>
        <v>52.478242905896614</v>
      </c>
      <c r="U12" s="3">
        <f t="shared" si="6"/>
        <v>38.985641339869282</v>
      </c>
      <c r="V12" s="3">
        <f t="shared" si="22"/>
        <v>63.475290392227556</v>
      </c>
      <c r="W12" s="3">
        <f t="shared" si="7"/>
        <v>42.583333333333336</v>
      </c>
      <c r="X12" s="3">
        <f t="shared" si="8"/>
        <v>49.35</v>
      </c>
      <c r="Y12" s="7">
        <f t="shared" si="23"/>
        <v>50.601521928758004</v>
      </c>
      <c r="Z12" s="41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x14ac:dyDescent="0.2">
      <c r="A13" s="25">
        <v>130</v>
      </c>
      <c r="B13" s="34">
        <f t="shared" si="0"/>
        <v>1.4703000000000002</v>
      </c>
      <c r="C13" s="3">
        <f t="shared" si="9"/>
        <v>62.336570767870498</v>
      </c>
      <c r="D13" s="3">
        <f t="shared" si="10"/>
        <v>56.013330612800104</v>
      </c>
      <c r="E13" s="3">
        <f t="shared" si="11"/>
        <v>54.746158423390263</v>
      </c>
      <c r="F13" s="3">
        <f t="shared" si="12"/>
        <v>39.447731755424059</v>
      </c>
      <c r="G13" s="3">
        <f t="shared" si="13"/>
        <v>40.944025028905656</v>
      </c>
      <c r="H13" s="3">
        <f t="shared" si="14"/>
        <v>42.154095536058399</v>
      </c>
      <c r="I13" s="3">
        <f t="shared" si="15"/>
        <v>53.167720873291167</v>
      </c>
      <c r="J13" s="3">
        <f t="shared" si="16"/>
        <v>51.439283528142937</v>
      </c>
      <c r="K13" s="3">
        <f t="shared" si="17"/>
        <v>51.610136935046889</v>
      </c>
      <c r="L13" s="3">
        <f t="shared" si="18"/>
        <v>42.128461538461529</v>
      </c>
      <c r="M13" s="3">
        <f t="shared" si="1"/>
        <v>47.609331428960068</v>
      </c>
      <c r="N13" s="3">
        <f t="shared" si="19"/>
        <v>55.013997143440108</v>
      </c>
      <c r="O13" s="3">
        <f t="shared" si="20"/>
        <v>71.429999999999993</v>
      </c>
      <c r="P13" s="3">
        <f t="shared" si="21"/>
        <v>52.006665306400052</v>
      </c>
      <c r="Q13" s="3">
        <f t="shared" si="2"/>
        <v>50.323584446263169</v>
      </c>
      <c r="R13" s="3">
        <f t="shared" si="3"/>
        <v>101.90993101871565</v>
      </c>
      <c r="S13" s="3">
        <f t="shared" si="4"/>
        <v>52.368053375196226</v>
      </c>
      <c r="T13" s="3">
        <f t="shared" si="5"/>
        <v>47.63782217751212</v>
      </c>
      <c r="U13" s="3">
        <f t="shared" si="6"/>
        <v>35.986745852187028</v>
      </c>
      <c r="V13" s="3">
        <f t="shared" si="22"/>
        <v>55.864148615476623</v>
      </c>
      <c r="W13" s="3">
        <f t="shared" si="7"/>
        <v>39.307692307692307</v>
      </c>
      <c r="X13" s="3">
        <f t="shared" si="8"/>
        <v>45.553846153846152</v>
      </c>
      <c r="Y13" s="7">
        <f t="shared" si="23"/>
        <v>47.1976686238241</v>
      </c>
      <c r="Z13" s="41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x14ac:dyDescent="0.2">
      <c r="A14" s="25">
        <v>140</v>
      </c>
      <c r="B14" s="34">
        <f t="shared" si="0"/>
        <v>1.5834000000000001</v>
      </c>
      <c r="C14" s="3">
        <f t="shared" si="9"/>
        <v>57.755387141594035</v>
      </c>
      <c r="D14" s="3">
        <f t="shared" si="10"/>
        <v>51.155235569028669</v>
      </c>
      <c r="E14" s="3">
        <f t="shared" si="11"/>
        <v>50.655273701821571</v>
      </c>
      <c r="F14" s="3">
        <f t="shared" si="12"/>
        <v>36.630036630036628</v>
      </c>
      <c r="G14" s="3">
        <f t="shared" si="13"/>
        <v>38.019451812555253</v>
      </c>
      <c r="H14" s="3">
        <f t="shared" si="14"/>
        <v>39.143088712054222</v>
      </c>
      <c r="I14" s="3">
        <f t="shared" si="15"/>
        <v>49.370026525198945</v>
      </c>
      <c r="J14" s="3">
        <f t="shared" si="16"/>
        <v>47.535457153683751</v>
      </c>
      <c r="K14" s="3">
        <f t="shared" si="17"/>
        <v>47.186765780837653</v>
      </c>
      <c r="L14" s="3">
        <f t="shared" si="18"/>
        <v>38.804285714285705</v>
      </c>
      <c r="M14" s="3">
        <f t="shared" si="1"/>
        <v>44.208664898320066</v>
      </c>
      <c r="N14" s="3">
        <f t="shared" si="19"/>
        <v>49.912997347480108</v>
      </c>
      <c r="O14" s="3">
        <f t="shared" si="20"/>
        <v>65.079999999999984</v>
      </c>
      <c r="P14" s="3">
        <f t="shared" si="21"/>
        <v>49.577617784514331</v>
      </c>
      <c r="Q14" s="3">
        <f t="shared" si="2"/>
        <v>46.198773172332125</v>
      </c>
      <c r="R14" s="3">
        <f t="shared" si="3"/>
        <v>94.637663377118585</v>
      </c>
      <c r="S14" s="3">
        <f t="shared" si="4"/>
        <v>48.68673469387754</v>
      </c>
      <c r="T14" s="3">
        <f t="shared" si="5"/>
        <v>43.555260619938366</v>
      </c>
      <c r="U14" s="3">
        <f t="shared" si="6"/>
        <v>33.416264005602244</v>
      </c>
      <c r="V14" s="3">
        <f t="shared" si="22"/>
        <v>49.532632954653707</v>
      </c>
      <c r="W14" s="3">
        <f t="shared" si="7"/>
        <v>36.5</v>
      </c>
      <c r="X14" s="3">
        <f t="shared" si="8"/>
        <v>42.3</v>
      </c>
      <c r="Y14" s="7">
        <f t="shared" si="23"/>
        <v>44.250672188309494</v>
      </c>
      <c r="Z14" s="41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x14ac:dyDescent="0.2">
      <c r="A15" s="25">
        <v>150</v>
      </c>
      <c r="B15" s="34">
        <f t="shared" si="0"/>
        <v>1.6965000000000001</v>
      </c>
      <c r="C15" s="3">
        <f t="shared" si="9"/>
        <v>53.7850279988211</v>
      </c>
      <c r="D15" s="3">
        <f t="shared" si="10"/>
        <v>46.944886531093424</v>
      </c>
      <c r="E15" s="3">
        <f t="shared" si="11"/>
        <v>47.109840276462037</v>
      </c>
      <c r="F15" s="3">
        <f t="shared" si="12"/>
        <v>34.188034188034187</v>
      </c>
      <c r="G15" s="3">
        <f t="shared" si="13"/>
        <v>35.484821691718246</v>
      </c>
      <c r="H15" s="3">
        <f t="shared" si="14"/>
        <v>36.533549464583942</v>
      </c>
      <c r="I15" s="3">
        <f t="shared" si="15"/>
        <v>46.078691423519011</v>
      </c>
      <c r="J15" s="3">
        <f t="shared" si="16"/>
        <v>44.152140962485781</v>
      </c>
      <c r="K15" s="3">
        <f t="shared" si="17"/>
        <v>43.409947414081664</v>
      </c>
      <c r="L15" s="3">
        <f t="shared" si="18"/>
        <v>35.923333333333332</v>
      </c>
      <c r="M15" s="3">
        <f t="shared" si="1"/>
        <v>41.261420571765399</v>
      </c>
      <c r="N15" s="3">
        <f t="shared" si="19"/>
        <v>45.4921308576481</v>
      </c>
      <c r="O15" s="3">
        <f t="shared" si="20"/>
        <v>58.72999999999999</v>
      </c>
      <c r="P15" s="3">
        <f t="shared" si="21"/>
        <v>47.472443265546715</v>
      </c>
      <c r="Q15" s="3">
        <f t="shared" si="2"/>
        <v>42.663146559136223</v>
      </c>
      <c r="R15" s="3">
        <f t="shared" si="3"/>
        <v>88.334580064742084</v>
      </c>
      <c r="S15" s="3">
        <f t="shared" si="4"/>
        <v>45.49625850340135</v>
      </c>
      <c r="T15" s="3">
        <f t="shared" si="5"/>
        <v>40.069606701838687</v>
      </c>
      <c r="U15" s="3">
        <f t="shared" si="6"/>
        <v>31.188513071895425</v>
      </c>
      <c r="V15" s="3">
        <f t="shared" si="22"/>
        <v>44.270027520510901</v>
      </c>
      <c r="W15" s="3">
        <f t="shared" si="7"/>
        <v>34.06666666666667</v>
      </c>
      <c r="X15" s="3">
        <f t="shared" si="8"/>
        <v>39.479999999999997</v>
      </c>
      <c r="Y15" s="7">
        <f t="shared" si="23"/>
        <v>41.672721906906155</v>
      </c>
      <c r="Z15" s="41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x14ac:dyDescent="0.2">
      <c r="A16" s="25">
        <v>160</v>
      </c>
      <c r="B16" s="34">
        <f t="shared" si="0"/>
        <v>1.8096000000000001</v>
      </c>
      <c r="C16" s="3">
        <f t="shared" si="9"/>
        <v>50.310963748894785</v>
      </c>
      <c r="D16" s="3">
        <f t="shared" si="10"/>
        <v>43.260831122900086</v>
      </c>
      <c r="E16" s="3">
        <f t="shared" si="11"/>
        <v>44.007586029272446</v>
      </c>
      <c r="F16" s="3">
        <f t="shared" si="12"/>
        <v>32.051282051282051</v>
      </c>
      <c r="G16" s="3">
        <f t="shared" si="13"/>
        <v>33.267020335985855</v>
      </c>
      <c r="H16" s="3">
        <f t="shared" si="14"/>
        <v>34.25020262304745</v>
      </c>
      <c r="I16" s="3">
        <f t="shared" si="15"/>
        <v>43.198773209549074</v>
      </c>
      <c r="J16" s="3">
        <f t="shared" si="16"/>
        <v>41.191739295187567</v>
      </c>
      <c r="K16" s="3">
        <f t="shared" si="17"/>
        <v>40.150927743685386</v>
      </c>
      <c r="L16" s="3">
        <f t="shared" si="18"/>
        <v>33.402499999999996</v>
      </c>
      <c r="M16" s="3">
        <f t="shared" si="1"/>
        <v>38.682581786030063</v>
      </c>
      <c r="N16" s="3">
        <f t="shared" si="19"/>
        <v>41.623872679045093</v>
      </c>
      <c r="O16" s="3">
        <f t="shared" si="20"/>
        <v>52.379999999999995</v>
      </c>
      <c r="P16" s="3">
        <f t="shared" si="21"/>
        <v>45.630415561450036</v>
      </c>
      <c r="Q16" s="3">
        <f t="shared" si="2"/>
        <v>39.601144364446867</v>
      </c>
      <c r="R16" s="3">
        <f t="shared" si="3"/>
        <v>82.819013654883037</v>
      </c>
      <c r="S16" s="3">
        <f t="shared" si="4"/>
        <v>42.704591836734686</v>
      </c>
      <c r="T16" s="3">
        <f t="shared" si="5"/>
        <v>37.061957427848085</v>
      </c>
      <c r="U16" s="3">
        <f t="shared" si="6"/>
        <v>29.23923100490196</v>
      </c>
      <c r="V16" s="3">
        <f t="shared" si="22"/>
        <v>39.880053098889981</v>
      </c>
      <c r="W16" s="3">
        <f t="shared" si="7"/>
        <v>31.9375</v>
      </c>
      <c r="X16" s="3">
        <f t="shared" si="8"/>
        <v>37.012500000000003</v>
      </c>
      <c r="Y16" s="7">
        <f t="shared" si="23"/>
        <v>39.397337995346675</v>
      </c>
      <c r="Z16" s="41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x14ac:dyDescent="0.2">
      <c r="A17" s="25">
        <v>170</v>
      </c>
      <c r="B17" s="34">
        <f t="shared" si="0"/>
        <v>1.9227000000000001</v>
      </c>
      <c r="C17" s="3">
        <f t="shared" si="9"/>
        <v>47.245612940136269</v>
      </c>
      <c r="D17" s="3">
        <f t="shared" si="10"/>
        <v>40.01019399802361</v>
      </c>
      <c r="E17" s="3">
        <f t="shared" si="11"/>
        <v>41.270302869987511</v>
      </c>
      <c r="F17" s="3">
        <f t="shared" si="12"/>
        <v>30.165912518853695</v>
      </c>
      <c r="G17" s="3">
        <f t="shared" si="13"/>
        <v>31.310136786810215</v>
      </c>
      <c r="H17" s="3">
        <f t="shared" si="14"/>
        <v>32.235484821691713</v>
      </c>
      <c r="I17" s="3">
        <f t="shared" si="15"/>
        <v>40.657668903105012</v>
      </c>
      <c r="J17" s="3">
        <f t="shared" si="16"/>
        <v>38.579620176983262</v>
      </c>
      <c r="K17" s="3">
        <f t="shared" si="17"/>
        <v>37.312616129699634</v>
      </c>
      <c r="L17" s="3">
        <f t="shared" si="18"/>
        <v>31.178235294117645</v>
      </c>
      <c r="M17" s="3">
        <f t="shared" si="1"/>
        <v>36.40713579861653</v>
      </c>
      <c r="N17" s="3">
        <f t="shared" si="19"/>
        <v>38.210703697924792</v>
      </c>
      <c r="O17" s="3">
        <f t="shared" si="20"/>
        <v>46.029999999999987</v>
      </c>
      <c r="P17" s="3">
        <f t="shared" si="21"/>
        <v>44.005096999011812</v>
      </c>
      <c r="Q17" s="3">
        <f t="shared" si="2"/>
        <v>36.92530920907997</v>
      </c>
      <c r="R17" s="3">
        <f t="shared" si="3"/>
        <v>77.952032638552822</v>
      </c>
      <c r="S17" s="3">
        <f t="shared" si="4"/>
        <v>40.241356542617041</v>
      </c>
      <c r="T17" s="3">
        <f t="shared" si="5"/>
        <v>34.44265852385076</v>
      </c>
      <c r="U17" s="3">
        <f t="shared" si="6"/>
        <v>27.519276239907729</v>
      </c>
      <c r="V17" s="3">
        <f t="shared" si="22"/>
        <v>36.196605359136818</v>
      </c>
      <c r="W17" s="3">
        <f t="shared" si="7"/>
        <v>30.058823529411764</v>
      </c>
      <c r="X17" s="3">
        <f t="shared" si="8"/>
        <v>34.835294117647059</v>
      </c>
      <c r="Y17" s="7">
        <f t="shared" si="23"/>
        <v>37.373235857928655</v>
      </c>
      <c r="Z17" s="41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x14ac:dyDescent="0.2">
      <c r="A18" s="25">
        <v>180</v>
      </c>
      <c r="B18" s="34">
        <f t="shared" si="0"/>
        <v>2.0358000000000001</v>
      </c>
      <c r="C18" s="3">
        <f t="shared" si="9"/>
        <v>44.520856665684249</v>
      </c>
      <c r="D18" s="3">
        <f t="shared" si="10"/>
        <v>37.120738775911185</v>
      </c>
      <c r="E18" s="3">
        <f t="shared" si="11"/>
        <v>38.837162283956459</v>
      </c>
      <c r="F18" s="3">
        <f t="shared" si="12"/>
        <v>28.490028490028489</v>
      </c>
      <c r="G18" s="3">
        <f t="shared" si="13"/>
        <v>29.570684743098539</v>
      </c>
      <c r="H18" s="3">
        <f t="shared" si="14"/>
        <v>30.444624553819949</v>
      </c>
      <c r="I18" s="3">
        <f t="shared" si="15"/>
        <v>38.398909519599179</v>
      </c>
      <c r="J18" s="3">
        <f t="shared" si="16"/>
        <v>36.257736516357205</v>
      </c>
      <c r="K18" s="3">
        <f t="shared" si="17"/>
        <v>34.820480943863743</v>
      </c>
      <c r="L18" s="3">
        <f t="shared" si="18"/>
        <v>29.201111111111114</v>
      </c>
      <c r="M18" s="3">
        <f t="shared" si="1"/>
        <v>34.384517143137835</v>
      </c>
      <c r="N18" s="3">
        <f t="shared" si="19"/>
        <v>35.17677571470675</v>
      </c>
      <c r="O18" s="3">
        <f t="shared" si="20"/>
        <v>39.679999999999993</v>
      </c>
      <c r="P18" s="3">
        <f t="shared" si="21"/>
        <v>42.560369387955589</v>
      </c>
      <c r="Q18" s="3">
        <f t="shared" si="2"/>
        <v>34.568276343154402</v>
      </c>
      <c r="R18" s="3">
        <f t="shared" si="3"/>
        <v>73.625572359299142</v>
      </c>
      <c r="S18" s="3">
        <f t="shared" si="4"/>
        <v>38.051814058956907</v>
      </c>
      <c r="T18" s="3">
        <f t="shared" si="5"/>
        <v>32.142892307470262</v>
      </c>
      <c r="U18" s="3">
        <f t="shared" si="6"/>
        <v>25.990427559912852</v>
      </c>
      <c r="V18" s="3">
        <f t="shared" si="22"/>
        <v>33.084726049305587</v>
      </c>
      <c r="W18" s="3">
        <f t="shared" si="7"/>
        <v>28.388888888888889</v>
      </c>
      <c r="X18" s="3">
        <f t="shared" si="8"/>
        <v>32.9</v>
      </c>
      <c r="Y18" s="7">
        <f t="shared" si="23"/>
        <v>35.560199093342291</v>
      </c>
      <c r="Z18" s="41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x14ac:dyDescent="0.2">
      <c r="A19" s="25">
        <v>190</v>
      </c>
      <c r="B19" s="34">
        <f t="shared" si="0"/>
        <v>2.1489000000000003</v>
      </c>
      <c r="C19" s="3">
        <f t="shared" si="9"/>
        <v>42.082916841174551</v>
      </c>
      <c r="D19" s="3">
        <f t="shared" si="10"/>
        <v>34.535436735073752</v>
      </c>
      <c r="E19" s="3">
        <f t="shared" si="11"/>
        <v>36.660141759612884</v>
      </c>
      <c r="F19" s="3">
        <f t="shared" si="12"/>
        <v>26.990553306342775</v>
      </c>
      <c r="G19" s="3">
        <f t="shared" si="13"/>
        <v>28.014332914514402</v>
      </c>
      <c r="H19" s="3">
        <f t="shared" si="14"/>
        <v>28.842275893092584</v>
      </c>
      <c r="I19" s="3">
        <f t="shared" si="15"/>
        <v>36.377914281725538</v>
      </c>
      <c r="J19" s="3">
        <f t="shared" si="16"/>
        <v>34.180261662112841</v>
      </c>
      <c r="K19" s="3">
        <f t="shared" si="17"/>
        <v>32.616402230204251</v>
      </c>
      <c r="L19" s="3">
        <f t="shared" si="18"/>
        <v>27.432105263157897</v>
      </c>
      <c r="M19" s="3">
        <f t="shared" si="1"/>
        <v>32.57480571455163</v>
      </c>
      <c r="N19" s="3">
        <f t="shared" si="19"/>
        <v>32.462208571827439</v>
      </c>
      <c r="O19" s="3">
        <f t="shared" si="20"/>
        <v>33.329999999999984</v>
      </c>
      <c r="P19" s="3">
        <f t="shared" si="21"/>
        <v>41.267718367536872</v>
      </c>
      <c r="Q19" s="3">
        <f t="shared" si="2"/>
        <v>32.47734662711796</v>
      </c>
      <c r="R19" s="3">
        <f t="shared" si="3"/>
        <v>69.754313555077729</v>
      </c>
      <c r="S19" s="3">
        <f t="shared" si="4"/>
        <v>36.092749731471528</v>
      </c>
      <c r="T19" s="3">
        <f t="shared" si="5"/>
        <v>30.108998381894999</v>
      </c>
      <c r="U19" s="3">
        <f t="shared" si="6"/>
        <v>24.622510319917442</v>
      </c>
      <c r="V19" s="3">
        <f t="shared" si="22"/>
        <v>30.436680165235678</v>
      </c>
      <c r="W19" s="3">
        <f t="shared" si="7"/>
        <v>26.894736842105264</v>
      </c>
      <c r="X19" s="3">
        <f t="shared" si="8"/>
        <v>31.168421052631579</v>
      </c>
      <c r="Y19" s="7">
        <f t="shared" si="23"/>
        <v>33.926232219235608</v>
      </c>
      <c r="Z19" s="41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x14ac:dyDescent="0.2">
      <c r="A20" s="25">
        <v>200</v>
      </c>
      <c r="B20" s="34">
        <f t="shared" si="0"/>
        <v>2.262</v>
      </c>
      <c r="C20" s="3">
        <f t="shared" si="9"/>
        <v>39.888770999115827</v>
      </c>
      <c r="D20" s="3">
        <f t="shared" si="10"/>
        <v>32.208664898320073</v>
      </c>
      <c r="E20" s="3">
        <f t="shared" si="11"/>
        <v>34.700823287703678</v>
      </c>
      <c r="F20" s="3">
        <f t="shared" si="12"/>
        <v>25.641025641025642</v>
      </c>
      <c r="G20" s="3">
        <f t="shared" si="13"/>
        <v>26.613616268788682</v>
      </c>
      <c r="H20" s="3">
        <f t="shared" si="14"/>
        <v>27.40016209843796</v>
      </c>
      <c r="I20" s="3">
        <f t="shared" si="15"/>
        <v>34.559018567639264</v>
      </c>
      <c r="J20" s="3">
        <f t="shared" si="16"/>
        <v>32.31053429329291</v>
      </c>
      <c r="K20" s="3">
        <f t="shared" si="17"/>
        <v>30.654421785700485</v>
      </c>
      <c r="L20" s="3">
        <f t="shared" si="18"/>
        <v>25.839999999999996</v>
      </c>
      <c r="M20" s="3">
        <f t="shared" si="1"/>
        <v>30.946065428824049</v>
      </c>
      <c r="N20" s="3">
        <f t="shared" si="19"/>
        <v>30.019098143236079</v>
      </c>
      <c r="O20" s="3">
        <f t="shared" si="20"/>
        <v>26.97999999999999</v>
      </c>
      <c r="P20" s="3">
        <f t="shared" si="21"/>
        <v>40.10433244916004</v>
      </c>
      <c r="Q20" s="3">
        <f t="shared" si="2"/>
        <v>30.610722550264025</v>
      </c>
      <c r="R20" s="3">
        <f t="shared" si="3"/>
        <v>66.269996996612093</v>
      </c>
      <c r="S20" s="3">
        <f t="shared" si="4"/>
        <v>34.329591836734686</v>
      </c>
      <c r="T20" s="3">
        <f t="shared" si="5"/>
        <v>28.298547655209241</v>
      </c>
      <c r="U20" s="3">
        <f t="shared" si="6"/>
        <v>23.391384803921568</v>
      </c>
      <c r="V20" s="3">
        <f t="shared" si="22"/>
        <v>28.167008482664048</v>
      </c>
      <c r="W20" s="3">
        <f t="shared" si="7"/>
        <v>25.55</v>
      </c>
      <c r="X20" s="3">
        <f t="shared" si="8"/>
        <v>29.61</v>
      </c>
      <c r="Y20" s="7">
        <f t="shared" si="23"/>
        <v>32.445551982882165</v>
      </c>
      <c r="Z20" s="41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x14ac:dyDescent="0.2">
      <c r="A21" s="25">
        <v>210</v>
      </c>
      <c r="B21" s="34">
        <f t="shared" si="0"/>
        <v>2.3751000000000002</v>
      </c>
      <c r="C21" s="3">
        <f t="shared" si="9"/>
        <v>37.90359142772936</v>
      </c>
      <c r="D21" s="3">
        <f t="shared" si="10"/>
        <v>30.103490379352444</v>
      </c>
      <c r="E21" s="3">
        <f t="shared" si="11"/>
        <v>32.928106575023904</v>
      </c>
      <c r="F21" s="3">
        <f t="shared" si="12"/>
        <v>24.420024420024419</v>
      </c>
      <c r="G21" s="3">
        <f t="shared" si="13"/>
        <v>25.346301208370171</v>
      </c>
      <c r="H21" s="3">
        <f t="shared" si="14"/>
        <v>26.095392474702816</v>
      </c>
      <c r="I21" s="3">
        <f t="shared" si="15"/>
        <v>32.913351016799297</v>
      </c>
      <c r="J21" s="3">
        <f t="shared" si="16"/>
        <v>30.618876197693929</v>
      </c>
      <c r="K21" s="3">
        <f t="shared" si="17"/>
        <v>28.897742905217768</v>
      </c>
      <c r="L21" s="3">
        <f t="shared" si="18"/>
        <v>24.39952380952381</v>
      </c>
      <c r="M21" s="3">
        <f t="shared" si="1"/>
        <v>29.472443265546712</v>
      </c>
      <c r="N21" s="3">
        <f t="shared" si="19"/>
        <v>27.808664898320067</v>
      </c>
      <c r="O21" s="3">
        <f t="shared" si="20"/>
        <v>20.629999999999995</v>
      </c>
      <c r="P21" s="3">
        <f t="shared" si="21"/>
        <v>39.051745189676225</v>
      </c>
      <c r="Q21" s="3">
        <f t="shared" si="2"/>
        <v>28.934842977156162</v>
      </c>
      <c r="R21" s="3">
        <f t="shared" si="3"/>
        <v>63.117362285260526</v>
      </c>
      <c r="S21" s="3">
        <f t="shared" si="4"/>
        <v>32.734353741496591</v>
      </c>
      <c r="T21" s="3">
        <f t="shared" si="5"/>
        <v>26.677571008635503</v>
      </c>
      <c r="U21" s="3">
        <f t="shared" si="6"/>
        <v>22.27750933706816</v>
      </c>
      <c r="V21" s="3">
        <f t="shared" si="22"/>
        <v>26.207944895968623</v>
      </c>
      <c r="W21" s="3">
        <f t="shared" si="7"/>
        <v>24.333333333333332</v>
      </c>
      <c r="X21" s="3">
        <f t="shared" si="8"/>
        <v>28.2</v>
      </c>
      <c r="Y21" s="7">
        <f t="shared" si="23"/>
        <v>31.09714200386961</v>
      </c>
      <c r="Z21" s="41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x14ac:dyDescent="0.2">
      <c r="A22" s="25">
        <v>220</v>
      </c>
      <c r="B22" s="34">
        <f t="shared" si="0"/>
        <v>2.4882</v>
      </c>
      <c r="C22" s="3">
        <f t="shared" si="9"/>
        <v>36.098882726468936</v>
      </c>
      <c r="D22" s="3">
        <f t="shared" si="10"/>
        <v>28.189695362109155</v>
      </c>
      <c r="E22" s="3">
        <f t="shared" si="11"/>
        <v>31.316545927133209</v>
      </c>
      <c r="F22" s="3">
        <f t="shared" si="12"/>
        <v>23.310023310023311</v>
      </c>
      <c r="G22" s="3">
        <f t="shared" si="13"/>
        <v>24.194196607989713</v>
      </c>
      <c r="H22" s="3">
        <f t="shared" si="14"/>
        <v>24.909238271307238</v>
      </c>
      <c r="I22" s="3">
        <f t="shared" si="15"/>
        <v>31.417289606944784</v>
      </c>
      <c r="J22" s="3">
        <f t="shared" si="16"/>
        <v>29.081005201694857</v>
      </c>
      <c r="K22" s="3">
        <f t="shared" si="17"/>
        <v>27.316572453984762</v>
      </c>
      <c r="L22" s="3">
        <f t="shared" si="18"/>
        <v>23.09</v>
      </c>
      <c r="M22" s="3">
        <f t="shared" si="1"/>
        <v>28.13278675347641</v>
      </c>
      <c r="N22" s="3">
        <f t="shared" si="19"/>
        <v>25.799180130214616</v>
      </c>
      <c r="O22" s="3">
        <f t="shared" si="20"/>
        <v>14.280000000000001</v>
      </c>
      <c r="P22" s="3">
        <f t="shared" si="21"/>
        <v>38.094847681054574</v>
      </c>
      <c r="Q22" s="3">
        <f t="shared" si="2"/>
        <v>27.422460673992553</v>
      </c>
      <c r="R22" s="3">
        <f t="shared" si="3"/>
        <v>60.251194093591252</v>
      </c>
      <c r="S22" s="3">
        <f t="shared" si="4"/>
        <v>31.284137291280139</v>
      </c>
      <c r="T22" s="3">
        <f t="shared" si="5"/>
        <v>25.218566178042085</v>
      </c>
      <c r="U22" s="3">
        <f t="shared" si="6"/>
        <v>21.264895276292336</v>
      </c>
      <c r="V22" s="3">
        <f t="shared" si="22"/>
        <v>24.505592933685985</v>
      </c>
      <c r="W22" s="3">
        <f t="shared" si="7"/>
        <v>23.227272727272727</v>
      </c>
      <c r="X22" s="3">
        <f t="shared" si="8"/>
        <v>26.918181818181818</v>
      </c>
      <c r="Y22" s="7">
        <f t="shared" si="23"/>
        <v>29.863694276811046</v>
      </c>
      <c r="Z22" s="41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x14ac:dyDescent="0.2">
      <c r="A23" s="25">
        <v>230</v>
      </c>
      <c r="B23" s="34">
        <f t="shared" si="0"/>
        <v>2.6013000000000002</v>
      </c>
      <c r="C23" s="3">
        <f t="shared" si="9"/>
        <v>34.451105216622459</v>
      </c>
      <c r="D23" s="3">
        <f t="shared" si="10"/>
        <v>26.442317302887012</v>
      </c>
      <c r="E23" s="3">
        <f t="shared" si="11"/>
        <v>29.845120987754743</v>
      </c>
      <c r="F23" s="3">
        <f t="shared" si="12"/>
        <v>22.296544035674469</v>
      </c>
      <c r="G23" s="3">
        <f t="shared" si="13"/>
        <v>23.142275016337983</v>
      </c>
      <c r="H23" s="3">
        <f t="shared" si="14"/>
        <v>23.82622791168518</v>
      </c>
      <c r="I23" s="3">
        <f t="shared" si="15"/>
        <v>30.051320493599359</v>
      </c>
      <c r="J23" s="3">
        <f t="shared" si="16"/>
        <v>27.676862118391352</v>
      </c>
      <c r="K23" s="3">
        <f t="shared" si="17"/>
        <v>25.886542579137377</v>
      </c>
      <c r="L23" s="3">
        <f t="shared" si="18"/>
        <v>21.894347826086953</v>
      </c>
      <c r="M23" s="3">
        <f t="shared" si="1"/>
        <v>26.909622112020912</v>
      </c>
      <c r="N23" s="3">
        <f t="shared" si="19"/>
        <v>23.96443316803137</v>
      </c>
      <c r="O23" s="3">
        <f t="shared" si="20"/>
        <v>7.9299999999999784</v>
      </c>
      <c r="P23" s="3">
        <f t="shared" si="21"/>
        <v>37.221158651443503</v>
      </c>
      <c r="Q23" s="3">
        <f t="shared" si="2"/>
        <v>26.051232403021988</v>
      </c>
      <c r="R23" s="3">
        <f t="shared" si="3"/>
        <v>57.634138841202514</v>
      </c>
      <c r="S23" s="3">
        <f t="shared" si="4"/>
        <v>29.960026619343381</v>
      </c>
      <c r="T23" s="3">
        <f t="shared" si="5"/>
        <v>23.89904011065488</v>
      </c>
      <c r="U23" s="3">
        <f t="shared" si="6"/>
        <v>20.34033461210571</v>
      </c>
      <c r="V23" s="3">
        <f t="shared" si="22"/>
        <v>23.016879296963292</v>
      </c>
      <c r="W23" s="3">
        <f t="shared" si="7"/>
        <v>22.217391304347824</v>
      </c>
      <c r="X23" s="3">
        <f t="shared" si="8"/>
        <v>25.747826086956522</v>
      </c>
      <c r="Y23" s="7">
        <f t="shared" si="23"/>
        <v>28.730821630867354</v>
      </c>
      <c r="Z23" s="41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x14ac:dyDescent="0.2">
      <c r="A24" s="25">
        <v>240</v>
      </c>
      <c r="B24" s="34">
        <f t="shared" si="0"/>
        <v>2.7144000000000004</v>
      </c>
      <c r="C24" s="3">
        <f t="shared" si="9"/>
        <v>32.940642499263184</v>
      </c>
      <c r="D24" s="3">
        <f t="shared" si="10"/>
        <v>24.840554081933391</v>
      </c>
      <c r="E24" s="3">
        <f t="shared" si="11"/>
        <v>28.496314793324487</v>
      </c>
      <c r="F24" s="3">
        <f t="shared" si="12"/>
        <v>21.367521367521366</v>
      </c>
      <c r="G24" s="3">
        <f t="shared" si="13"/>
        <v>22.178013557323897</v>
      </c>
      <c r="H24" s="3">
        <f t="shared" si="14"/>
        <v>22.833468415364962</v>
      </c>
      <c r="I24" s="3">
        <f t="shared" si="15"/>
        <v>28.799182139699383</v>
      </c>
      <c r="J24" s="3">
        <f t="shared" si="16"/>
        <v>26.389730958696472</v>
      </c>
      <c r="K24" s="3">
        <f t="shared" si="17"/>
        <v>24.587538787733756</v>
      </c>
      <c r="L24" s="3">
        <f t="shared" si="18"/>
        <v>20.798333333333332</v>
      </c>
      <c r="M24" s="3">
        <f t="shared" si="1"/>
        <v>25.788387857353371</v>
      </c>
      <c r="N24" s="3">
        <f t="shared" si="19"/>
        <v>22.282581786030057</v>
      </c>
      <c r="O24" s="3">
        <f t="shared" si="20"/>
        <v>1.5799999999999841</v>
      </c>
      <c r="P24" s="3">
        <f t="shared" si="21"/>
        <v>36.420277040966695</v>
      </c>
      <c r="Q24" s="3">
        <f t="shared" si="2"/>
        <v>24.802669318223366</v>
      </c>
      <c r="R24" s="3">
        <f t="shared" si="3"/>
        <v>55.235067122621366</v>
      </c>
      <c r="S24" s="3">
        <f t="shared" si="4"/>
        <v>28.746258503401357</v>
      </c>
      <c r="T24" s="3">
        <f t="shared" si="5"/>
        <v>22.700426697661268</v>
      </c>
      <c r="U24" s="3">
        <f t="shared" si="6"/>
        <v>19.492820669934641</v>
      </c>
      <c r="V24" s="3">
        <f t="shared" si="22"/>
        <v>21.707178613062865</v>
      </c>
      <c r="W24" s="3">
        <f t="shared" si="7"/>
        <v>21.291666666666668</v>
      </c>
      <c r="X24" s="3">
        <f t="shared" si="8"/>
        <v>24.675000000000001</v>
      </c>
      <c r="Y24" s="7">
        <f t="shared" si="23"/>
        <v>27.686463360423534</v>
      </c>
      <c r="Z24" s="41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x14ac:dyDescent="0.2">
      <c r="A25" s="25">
        <v>250</v>
      </c>
      <c r="B25" s="34">
        <f t="shared" si="0"/>
        <v>2.8275000000000001</v>
      </c>
      <c r="C25" s="3">
        <f t="shared" si="9"/>
        <v>31.551016799292658</v>
      </c>
      <c r="D25" s="3">
        <f t="shared" si="10"/>
        <v>23.366931918656057</v>
      </c>
      <c r="E25" s="3">
        <f t="shared" si="11"/>
        <v>27.255413094448652</v>
      </c>
      <c r="F25" s="3">
        <f t="shared" si="12"/>
        <v>20.512820512820511</v>
      </c>
      <c r="G25" s="3">
        <f t="shared" si="13"/>
        <v>21.290893015030946</v>
      </c>
      <c r="H25" s="3">
        <f t="shared" si="14"/>
        <v>21.920129678750367</v>
      </c>
      <c r="I25" s="3">
        <f t="shared" si="15"/>
        <v>27.647214854111411</v>
      </c>
      <c r="J25" s="3">
        <f t="shared" si="16"/>
        <v>25.205570291777185</v>
      </c>
      <c r="K25" s="3">
        <f t="shared" si="17"/>
        <v>23.402817750887664</v>
      </c>
      <c r="L25" s="3">
        <f t="shared" si="18"/>
        <v>19.79</v>
      </c>
      <c r="M25" s="3">
        <f t="shared" si="1"/>
        <v>24.75685234305924</v>
      </c>
      <c r="N25" s="3">
        <f t="shared" si="19"/>
        <v>20.735278514588856</v>
      </c>
      <c r="O25" s="3">
        <f t="shared" si="20"/>
        <v>-4.7700000000000102</v>
      </c>
      <c r="P25" s="3">
        <f t="shared" si="21"/>
        <v>35.683465959328032</v>
      </c>
      <c r="Q25" s="3">
        <f t="shared" si="2"/>
        <v>23.661344895135844</v>
      </c>
      <c r="R25" s="3">
        <f t="shared" si="3"/>
        <v>53.027829095282158</v>
      </c>
      <c r="S25" s="3">
        <f t="shared" si="4"/>
        <v>27.629591836734683</v>
      </c>
      <c r="T25" s="3">
        <f t="shared" si="5"/>
        <v>21.607272118671943</v>
      </c>
      <c r="U25" s="3">
        <f t="shared" si="6"/>
        <v>18.713107843137255</v>
      </c>
      <c r="V25" s="3">
        <f t="shared" si="22"/>
        <v>20.54847923799116</v>
      </c>
      <c r="W25" s="3">
        <f t="shared" si="7"/>
        <v>20.440000000000001</v>
      </c>
      <c r="X25" s="3">
        <f t="shared" si="8"/>
        <v>23.687999999999999</v>
      </c>
      <c r="Y25" s="7">
        <f t="shared" si="23"/>
        <v>26.720430796574313</v>
      </c>
      <c r="Z25" s="41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x14ac:dyDescent="0.2">
      <c r="A26" s="25">
        <v>260</v>
      </c>
      <c r="B26" s="34">
        <f t="shared" si="0"/>
        <v>2.9406000000000003</v>
      </c>
      <c r="C26" s="3">
        <f t="shared" si="9"/>
        <v>30.268285383935247</v>
      </c>
      <c r="D26" s="3">
        <f t="shared" si="10"/>
        <v>22.006665306400052</v>
      </c>
      <c r="E26" s="3">
        <f t="shared" si="11"/>
        <v>26.109965372409416</v>
      </c>
      <c r="F26" s="3">
        <f t="shared" si="12"/>
        <v>19.723865877712029</v>
      </c>
      <c r="G26" s="3">
        <f t="shared" si="13"/>
        <v>20.472012514452828</v>
      </c>
      <c r="H26" s="3">
        <f t="shared" si="14"/>
        <v>21.0770477680292</v>
      </c>
      <c r="I26" s="3">
        <f t="shared" si="15"/>
        <v>26.583860436645583</v>
      </c>
      <c r="J26" s="3">
        <f t="shared" si="16"/>
        <v>24.112498906928611</v>
      </c>
      <c r="K26" s="3">
        <f t="shared" si="17"/>
        <v>22.318334856922789</v>
      </c>
      <c r="L26" s="3">
        <f t="shared" si="18"/>
        <v>18.859230769230766</v>
      </c>
      <c r="M26" s="3">
        <f t="shared" si="1"/>
        <v>23.804665714480034</v>
      </c>
      <c r="N26" s="3">
        <f t="shared" si="19"/>
        <v>19.306998571720058</v>
      </c>
      <c r="O26" s="3">
        <f t="shared" si="20"/>
        <v>-11.120000000000005</v>
      </c>
      <c r="P26" s="3">
        <f t="shared" si="21"/>
        <v>35.003332653200033</v>
      </c>
      <c r="Q26" s="3">
        <f t="shared" si="2"/>
        <v>22.614289755261048</v>
      </c>
      <c r="R26" s="3">
        <f t="shared" si="3"/>
        <v>50.990297043598254</v>
      </c>
      <c r="S26" s="3">
        <f t="shared" si="4"/>
        <v>26.598822605965459</v>
      </c>
      <c r="T26" s="3">
        <f t="shared" si="5"/>
        <v>20.606613912664493</v>
      </c>
      <c r="U26" s="3">
        <f t="shared" si="6"/>
        <v>17.993372926093514</v>
      </c>
      <c r="V26" s="3">
        <f t="shared" si="22"/>
        <v>19.517971127227135</v>
      </c>
      <c r="W26" s="3">
        <f t="shared" si="7"/>
        <v>19.653846153846153</v>
      </c>
      <c r="X26" s="3">
        <f t="shared" si="8"/>
        <v>22.776923076923076</v>
      </c>
      <c r="Y26" s="7">
        <f t="shared" si="23"/>
        <v>25.824055744621177</v>
      </c>
      <c r="Z26" s="41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x14ac:dyDescent="0.2">
      <c r="A27" s="25">
        <v>270</v>
      </c>
      <c r="B27" s="34">
        <f t="shared" si="0"/>
        <v>3.0537000000000001</v>
      </c>
      <c r="C27" s="3">
        <f t="shared" si="9"/>
        <v>29.080571110456166</v>
      </c>
      <c r="D27" s="3">
        <f t="shared" si="10"/>
        <v>20.747159183940795</v>
      </c>
      <c r="E27" s="3">
        <f t="shared" si="11"/>
        <v>25.049365629780496</v>
      </c>
      <c r="F27" s="3">
        <f t="shared" si="12"/>
        <v>18.99335232668566</v>
      </c>
      <c r="G27" s="3">
        <f t="shared" si="13"/>
        <v>19.713789828732356</v>
      </c>
      <c r="H27" s="3">
        <f t="shared" si="14"/>
        <v>20.296416369213304</v>
      </c>
      <c r="I27" s="3">
        <f t="shared" si="15"/>
        <v>25.599273013066121</v>
      </c>
      <c r="J27" s="3">
        <f t="shared" si="16"/>
        <v>23.100395772809563</v>
      </c>
      <c r="K27" s="3">
        <f t="shared" si="17"/>
        <v>21.322225748559291</v>
      </c>
      <c r="L27" s="3">
        <f t="shared" si="18"/>
        <v>17.997407407407405</v>
      </c>
      <c r="M27" s="3">
        <f t="shared" si="1"/>
        <v>22.923011428758553</v>
      </c>
      <c r="N27" s="3">
        <f t="shared" si="19"/>
        <v>17.984517143137836</v>
      </c>
      <c r="O27" s="3">
        <f t="shared" si="20"/>
        <v>-17.47</v>
      </c>
      <c r="P27" s="3">
        <f t="shared" si="21"/>
        <v>34.373579591970397</v>
      </c>
      <c r="Q27" s="3">
        <f t="shared" si="2"/>
        <v>21.650524013896081</v>
      </c>
      <c r="R27" s="3">
        <f t="shared" si="3"/>
        <v>49.103620675244912</v>
      </c>
      <c r="S27" s="3">
        <f t="shared" si="4"/>
        <v>25.644406651549495</v>
      </c>
      <c r="T27" s="3">
        <f t="shared" si="5"/>
        <v>19.687502261504669</v>
      </c>
      <c r="U27" s="3">
        <f t="shared" si="6"/>
        <v>17.326951706608568</v>
      </c>
      <c r="V27" s="3">
        <f t="shared" si="22"/>
        <v>18.596957782976634</v>
      </c>
      <c r="W27" s="3">
        <f t="shared" si="7"/>
        <v>18.925925925925927</v>
      </c>
      <c r="X27" s="3">
        <f t="shared" si="8"/>
        <v>21.933333333333334</v>
      </c>
      <c r="Y27" s="7">
        <f t="shared" si="23"/>
        <v>24.989915547174114</v>
      </c>
      <c r="Z27" s="41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x14ac:dyDescent="0.2">
      <c r="A28" s="25">
        <v>280</v>
      </c>
      <c r="B28" s="34">
        <f t="shared" si="0"/>
        <v>3.1668000000000003</v>
      </c>
      <c r="C28" s="3">
        <f t="shared" si="9"/>
        <v>27.977693570797015</v>
      </c>
      <c r="D28" s="3">
        <f t="shared" si="10"/>
        <v>19.577617784514334</v>
      </c>
      <c r="E28" s="3">
        <f t="shared" si="11"/>
        <v>24.064523011625074</v>
      </c>
      <c r="F28" s="3">
        <f t="shared" si="12"/>
        <v>18.315018315018314</v>
      </c>
      <c r="G28" s="3">
        <f t="shared" si="13"/>
        <v>19.009725906277627</v>
      </c>
      <c r="H28" s="3">
        <f t="shared" si="14"/>
        <v>19.571544356027111</v>
      </c>
      <c r="I28" s="3">
        <f t="shared" si="15"/>
        <v>24.685013262599472</v>
      </c>
      <c r="J28" s="3">
        <f t="shared" si="16"/>
        <v>22.160585719699018</v>
      </c>
      <c r="K28" s="3">
        <f t="shared" si="17"/>
        <v>20.404402360995132</v>
      </c>
      <c r="L28" s="3">
        <f t="shared" si="18"/>
        <v>17.197142857142854</v>
      </c>
      <c r="M28" s="3">
        <f t="shared" si="1"/>
        <v>22.104332449160033</v>
      </c>
      <c r="N28" s="3">
        <f t="shared" si="19"/>
        <v>16.756498673740055</v>
      </c>
      <c r="O28" s="3">
        <f t="shared" si="20"/>
        <v>-23.820000000000022</v>
      </c>
      <c r="P28" s="3">
        <f t="shared" si="21"/>
        <v>33.788808892257165</v>
      </c>
      <c r="Q28" s="3">
        <f t="shared" si="2"/>
        <v>20.760692115886805</v>
      </c>
      <c r="R28" s="3">
        <f t="shared" si="3"/>
        <v>47.351641973196102</v>
      </c>
      <c r="S28" s="3">
        <f t="shared" si="4"/>
        <v>24.758163265306116</v>
      </c>
      <c r="T28" s="3">
        <f t="shared" si="5"/>
        <v>18.840627015150066</v>
      </c>
      <c r="U28" s="3">
        <f t="shared" si="6"/>
        <v>16.708132002801122</v>
      </c>
      <c r="V28" s="3">
        <f t="shared" si="22"/>
        <v>17.770015328075441</v>
      </c>
      <c r="W28" s="3">
        <f t="shared" si="7"/>
        <v>18.25</v>
      </c>
      <c r="X28" s="3">
        <f t="shared" si="8"/>
        <v>21.15</v>
      </c>
      <c r="Y28" s="7">
        <f t="shared" si="23"/>
        <v>24.211615926110433</v>
      </c>
      <c r="Z28" s="41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x14ac:dyDescent="0.2">
      <c r="A29" s="25">
        <v>290</v>
      </c>
      <c r="B29" s="34">
        <f t="shared" si="0"/>
        <v>3.2799</v>
      </c>
      <c r="C29" s="3">
        <f t="shared" si="9"/>
        <v>26.950876551114362</v>
      </c>
      <c r="D29" s="3">
        <f t="shared" si="10"/>
        <v>18.488734412634532</v>
      </c>
      <c r="E29" s="3">
        <f t="shared" si="11"/>
        <v>23.147600574032094</v>
      </c>
      <c r="F29" s="3">
        <f t="shared" si="12"/>
        <v>17.683465959328029</v>
      </c>
      <c r="G29" s="3">
        <f t="shared" si="13"/>
        <v>18.354218116405988</v>
      </c>
      <c r="H29" s="3">
        <f t="shared" si="14"/>
        <v>18.896663516164111</v>
      </c>
      <c r="I29" s="3">
        <f t="shared" si="15"/>
        <v>23.833805908716734</v>
      </c>
      <c r="J29" s="3">
        <f t="shared" si="16"/>
        <v>21.285590153009892</v>
      </c>
      <c r="K29" s="3">
        <f t="shared" si="17"/>
        <v>19.556235109875324</v>
      </c>
      <c r="L29" s="3">
        <f t="shared" si="18"/>
        <v>16.452068965517242</v>
      </c>
      <c r="M29" s="3">
        <f t="shared" si="1"/>
        <v>21.342114088844173</v>
      </c>
      <c r="N29" s="3">
        <f t="shared" si="19"/>
        <v>15.613171133266256</v>
      </c>
      <c r="O29" s="3">
        <f t="shared" si="20"/>
        <v>-30.170000000000016</v>
      </c>
      <c r="P29" s="3">
        <f t="shared" si="21"/>
        <v>33.244367206317264</v>
      </c>
      <c r="Q29" s="3">
        <f t="shared" si="2"/>
        <v>19.936774947123197</v>
      </c>
      <c r="R29" s="3">
        <f t="shared" si="3"/>
        <v>45.720431094860771</v>
      </c>
      <c r="S29" s="3">
        <f t="shared" si="4"/>
        <v>23.93304011259675</v>
      </c>
      <c r="T29" s="3">
        <f t="shared" si="5"/>
        <v>18.058024272067069</v>
      </c>
      <c r="U29" s="3">
        <f t="shared" si="6"/>
        <v>16.131989519945911</v>
      </c>
      <c r="V29" s="3">
        <f t="shared" si="22"/>
        <v>17.024339693233017</v>
      </c>
      <c r="W29" s="3">
        <f t="shared" si="7"/>
        <v>17.620689655172413</v>
      </c>
      <c r="X29" s="3">
        <f t="shared" si="8"/>
        <v>20.420689655172414</v>
      </c>
      <c r="Y29" s="7">
        <f t="shared" si="23"/>
        <v>23.483617883435858</v>
      </c>
      <c r="Z29" s="41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x14ac:dyDescent="0.2">
      <c r="A30" s="25">
        <v>300</v>
      </c>
      <c r="B30" s="34">
        <f t="shared" si="0"/>
        <v>3.3930000000000002</v>
      </c>
      <c r="C30" s="3">
        <f t="shared" si="9"/>
        <v>25.992513999410548</v>
      </c>
      <c r="D30" s="3">
        <f t="shared" si="10"/>
        <v>17.472443265546712</v>
      </c>
      <c r="E30" s="3">
        <f t="shared" si="11"/>
        <v>22.291806298945307</v>
      </c>
      <c r="F30" s="3">
        <f t="shared" si="12"/>
        <v>17.094017094017094</v>
      </c>
      <c r="G30" s="3">
        <f t="shared" si="13"/>
        <v>17.742410845859123</v>
      </c>
      <c r="H30" s="3">
        <f t="shared" si="14"/>
        <v>18.266774732291971</v>
      </c>
      <c r="I30" s="3">
        <f t="shared" si="15"/>
        <v>23.039345711759506</v>
      </c>
      <c r="J30" s="3">
        <f t="shared" si="16"/>
        <v>20.468927624100036</v>
      </c>
      <c r="K30" s="3">
        <f t="shared" si="17"/>
        <v>18.770300606223621</v>
      </c>
      <c r="L30" s="3">
        <f t="shared" si="18"/>
        <v>15.756666666666668</v>
      </c>
      <c r="M30" s="3">
        <f t="shared" si="1"/>
        <v>20.630710285882699</v>
      </c>
      <c r="N30" s="3">
        <f t="shared" si="19"/>
        <v>14.546065428824051</v>
      </c>
      <c r="O30" s="3">
        <f t="shared" si="20"/>
        <v>-36.52000000000001</v>
      </c>
      <c r="P30" s="3">
        <f t="shared" si="21"/>
        <v>32.736221632773351</v>
      </c>
      <c r="Q30" s="3">
        <f t="shared" si="2"/>
        <v>19.171860843690698</v>
      </c>
      <c r="R30" s="3">
        <f t="shared" si="3"/>
        <v>44.197915077535654</v>
      </c>
      <c r="S30" s="3">
        <f t="shared" si="4"/>
        <v>23.162925170068014</v>
      </c>
      <c r="T30" s="3">
        <f t="shared" si="5"/>
        <v>17.332843467535394</v>
      </c>
      <c r="U30" s="3">
        <f t="shared" si="6"/>
        <v>15.594256535947713</v>
      </c>
      <c r="V30" s="3">
        <f t="shared" si="22"/>
        <v>16.349237180093947</v>
      </c>
      <c r="W30" s="3">
        <f t="shared" si="7"/>
        <v>17.033333333333335</v>
      </c>
      <c r="X30" s="3">
        <f t="shared" si="8"/>
        <v>19.739999999999998</v>
      </c>
      <c r="Y30" s="7">
        <f t="shared" si="23"/>
        <v>22.801098548558919</v>
      </c>
      <c r="Z30" s="41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x14ac:dyDescent="0.2">
      <c r="A31" s="25">
        <v>310</v>
      </c>
      <c r="B31" s="34">
        <f t="shared" si="0"/>
        <v>3.5061</v>
      </c>
      <c r="C31" s="3">
        <f t="shared" si="9"/>
        <v>25.095981289752146</v>
      </c>
      <c r="D31" s="3">
        <f t="shared" si="10"/>
        <v>16.521719289238757</v>
      </c>
      <c r="E31" s="3">
        <f t="shared" si="11"/>
        <v>21.491224557735091</v>
      </c>
      <c r="F31" s="3">
        <f t="shared" si="12"/>
        <v>16.542597187758478</v>
      </c>
      <c r="G31" s="3">
        <f t="shared" si="13"/>
        <v>17.170075012121732</v>
      </c>
      <c r="H31" s="3">
        <f t="shared" si="14"/>
        <v>17.677523934476103</v>
      </c>
      <c r="I31" s="3">
        <f t="shared" si="15"/>
        <v>22.296141011380168</v>
      </c>
      <c r="J31" s="3">
        <f t="shared" si="16"/>
        <v>19.704953000281144</v>
      </c>
      <c r="K31" s="3">
        <f t="shared" si="17"/>
        <v>18.04017971628803</v>
      </c>
      <c r="L31" s="3">
        <f t="shared" si="18"/>
        <v>15.106129032258064</v>
      </c>
      <c r="M31" s="3">
        <f t="shared" si="1"/>
        <v>19.96520350246713</v>
      </c>
      <c r="N31" s="3">
        <f t="shared" si="19"/>
        <v>13.547805253700695</v>
      </c>
      <c r="O31" s="3">
        <f t="shared" si="20"/>
        <v>-42.870000000000005</v>
      </c>
      <c r="P31" s="3">
        <f t="shared" si="21"/>
        <v>32.260859644619373</v>
      </c>
      <c r="Q31" s="3">
        <f t="shared" si="2"/>
        <v>18.459961941964142</v>
      </c>
      <c r="R31" s="3">
        <f t="shared" si="3"/>
        <v>42.773578396549013</v>
      </c>
      <c r="S31" s="3">
        <f t="shared" si="4"/>
        <v>22.442495062541134</v>
      </c>
      <c r="T31" s="3">
        <f t="shared" si="5"/>
        <v>16.659160948458076</v>
      </c>
      <c r="U31" s="3">
        <f t="shared" si="6"/>
        <v>15.091216002530045</v>
      </c>
      <c r="V31" s="3">
        <f t="shared" si="22"/>
        <v>15.735724647440637</v>
      </c>
      <c r="W31" s="3">
        <f t="shared" si="7"/>
        <v>16.483870967741936</v>
      </c>
      <c r="X31" s="3">
        <f t="shared" si="8"/>
        <v>19.103225806451611</v>
      </c>
      <c r="Y31" s="7">
        <f t="shared" si="23"/>
        <v>22.159838432448598</v>
      </c>
      <c r="Z31" s="41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13.5" thickBot="1" x14ac:dyDescent="0.25">
      <c r="A32" s="27">
        <v>320</v>
      </c>
      <c r="B32" s="36">
        <f t="shared" si="0"/>
        <v>3.6192000000000002</v>
      </c>
      <c r="C32" s="3">
        <f t="shared" si="9"/>
        <v>24.255481874447391</v>
      </c>
      <c r="D32" s="8">
        <f t="shared" si="10"/>
        <v>15.630415561450043</v>
      </c>
      <c r="E32" s="8">
        <f t="shared" si="11"/>
        <v>20.740679175350511</v>
      </c>
      <c r="F32" s="8">
        <f t="shared" si="12"/>
        <v>16.025641025641026</v>
      </c>
      <c r="G32" s="8">
        <f t="shared" si="13"/>
        <v>16.633510167992927</v>
      </c>
      <c r="H32" s="8">
        <f t="shared" si="14"/>
        <v>17.125101311523725</v>
      </c>
      <c r="I32" s="8">
        <f t="shared" si="15"/>
        <v>21.599386604774537</v>
      </c>
      <c r="J32" s="8">
        <f t="shared" si="16"/>
        <v>18.988726790450926</v>
      </c>
      <c r="K32" s="8">
        <f t="shared" si="17"/>
        <v>17.360294664976205</v>
      </c>
      <c r="L32" s="8">
        <f t="shared" si="18"/>
        <v>14.49625</v>
      </c>
      <c r="M32" s="8">
        <f t="shared" si="1"/>
        <v>19.341290893015032</v>
      </c>
      <c r="N32" s="8">
        <f t="shared" si="19"/>
        <v>12.611936339522547</v>
      </c>
      <c r="O32" s="8">
        <f t="shared" si="20"/>
        <v>-49.22</v>
      </c>
      <c r="P32" s="8">
        <f>(0.5*(100/B32))+88-$B$34</f>
        <v>31.815207780725018</v>
      </c>
      <c r="Q32" s="8">
        <f t="shared" si="2"/>
        <v>17.795865758605061</v>
      </c>
      <c r="R32" s="8">
        <f t="shared" si="3"/>
        <v>41.438219660307318</v>
      </c>
      <c r="S32" s="8">
        <f t="shared" si="4"/>
        <v>21.767091836734686</v>
      </c>
      <c r="T32" s="8">
        <f t="shared" si="5"/>
        <v>16.031829597865109</v>
      </c>
      <c r="U32" s="8">
        <f t="shared" si="6"/>
        <v>14.61961550245098</v>
      </c>
      <c r="V32" s="8">
        <f t="shared" si="22"/>
        <v>15.176213875621425</v>
      </c>
      <c r="W32" s="8">
        <f t="shared" si="7"/>
        <v>15.96875</v>
      </c>
      <c r="X32" s="8">
        <f t="shared" si="8"/>
        <v>18.506250000000001</v>
      </c>
      <c r="Y32" s="9">
        <f t="shared" si="23"/>
        <v>21.55612940737414</v>
      </c>
      <c r="Z32" s="41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x14ac:dyDescent="0.2">
      <c r="A33" t="s">
        <v>62</v>
      </c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</row>
    <row r="34" spans="1:44" x14ac:dyDescent="0.2">
      <c r="A34" t="s">
        <v>11</v>
      </c>
      <c r="B34" s="2">
        <v>70</v>
      </c>
      <c r="D34" t="s">
        <v>63</v>
      </c>
    </row>
    <row r="35" spans="1:44" x14ac:dyDescent="0.2">
      <c r="A35" t="s">
        <v>0</v>
      </c>
      <c r="B35" s="50" t="s">
        <v>1</v>
      </c>
      <c r="D35" s="52" t="s">
        <v>140</v>
      </c>
    </row>
    <row r="36" spans="1:44" x14ac:dyDescent="0.2">
      <c r="A36" t="s">
        <v>8</v>
      </c>
      <c r="B36" s="2">
        <v>75</v>
      </c>
      <c r="C36" t="s">
        <v>87</v>
      </c>
      <c r="D36" s="52" t="s">
        <v>141</v>
      </c>
      <c r="N36" s="52"/>
      <c r="O36" s="52"/>
    </row>
    <row r="37" spans="1:44" x14ac:dyDescent="0.2">
      <c r="A37" t="s">
        <v>86</v>
      </c>
      <c r="B37" s="2">
        <v>140</v>
      </c>
      <c r="C37" t="s">
        <v>88</v>
      </c>
      <c r="D37" s="52" t="s">
        <v>142</v>
      </c>
    </row>
    <row r="38" spans="1:44" x14ac:dyDescent="0.2">
      <c r="A38" s="42" t="s">
        <v>89</v>
      </c>
      <c r="B38" s="2">
        <v>87</v>
      </c>
      <c r="C38" s="52" t="s">
        <v>110</v>
      </c>
      <c r="D38" s="52" t="s">
        <v>145</v>
      </c>
    </row>
    <row r="39" spans="1:44" ht="33.75" x14ac:dyDescent="0.2">
      <c r="A39" s="94" t="s">
        <v>147</v>
      </c>
      <c r="B39" s="95">
        <f>B38*A41</f>
        <v>0.98397000000000001</v>
      </c>
    </row>
    <row r="40" spans="1:44" x14ac:dyDescent="0.2">
      <c r="A40">
        <v>88.4</v>
      </c>
      <c r="B40" s="52" t="s">
        <v>137</v>
      </c>
      <c r="C40" s="1"/>
      <c r="D40" s="38" t="s">
        <v>66</v>
      </c>
      <c r="E40" s="38" t="s">
        <v>64</v>
      </c>
      <c r="F40" s="38" t="s">
        <v>65</v>
      </c>
      <c r="G40" s="38"/>
      <c r="H40" s="38" t="s">
        <v>66</v>
      </c>
    </row>
    <row r="41" spans="1:44" x14ac:dyDescent="0.2">
      <c r="A41">
        <v>1.1310000000000001E-2</v>
      </c>
      <c r="B41" s="52" t="s">
        <v>138</v>
      </c>
      <c r="D41" s="73">
        <v>1</v>
      </c>
      <c r="E41" s="74" t="s">
        <v>67</v>
      </c>
      <c r="F41" s="2" t="s">
        <v>72</v>
      </c>
      <c r="G41" s="2"/>
      <c r="H41" t="s">
        <v>73</v>
      </c>
    </row>
    <row r="42" spans="1:44" x14ac:dyDescent="0.2">
      <c r="A42" s="42" t="s">
        <v>94</v>
      </c>
      <c r="B42" s="2">
        <v>0</v>
      </c>
      <c r="C42" s="44" t="s">
        <v>95</v>
      </c>
      <c r="D42" s="77">
        <v>2</v>
      </c>
      <c r="E42" s="78" t="s">
        <v>68</v>
      </c>
      <c r="F42" s="2" t="s">
        <v>74</v>
      </c>
      <c r="G42" s="2"/>
      <c r="H42" t="s">
        <v>75</v>
      </c>
    </row>
    <row r="43" spans="1:44" x14ac:dyDescent="0.2">
      <c r="D43" s="75">
        <v>3</v>
      </c>
      <c r="E43" s="76" t="s">
        <v>69</v>
      </c>
      <c r="F43" s="2" t="s">
        <v>76</v>
      </c>
      <c r="G43" s="2"/>
      <c r="H43" t="s">
        <v>77</v>
      </c>
    </row>
    <row r="44" spans="1:44" x14ac:dyDescent="0.2">
      <c r="A44" s="52" t="s">
        <v>113</v>
      </c>
      <c r="B44" s="2">
        <v>3.8</v>
      </c>
      <c r="C44" s="52" t="s">
        <v>90</v>
      </c>
      <c r="D44" s="75">
        <v>4</v>
      </c>
      <c r="E44" s="76" t="s">
        <v>70</v>
      </c>
      <c r="F44" s="2" t="s">
        <v>78</v>
      </c>
      <c r="G44" s="2"/>
      <c r="H44" t="s">
        <v>79</v>
      </c>
    </row>
    <row r="45" spans="1:44" x14ac:dyDescent="0.2">
      <c r="A45" s="52" t="s">
        <v>102</v>
      </c>
      <c r="B45" s="2">
        <v>25</v>
      </c>
      <c r="C45" s="52" t="s">
        <v>103</v>
      </c>
      <c r="D45" s="75">
        <v>5</v>
      </c>
      <c r="E45" s="76" t="s">
        <v>71</v>
      </c>
      <c r="F45" s="2" t="s">
        <v>80</v>
      </c>
      <c r="G45" s="2"/>
      <c r="H45" t="s">
        <v>81</v>
      </c>
    </row>
    <row r="46" spans="1:44" x14ac:dyDescent="0.2">
      <c r="A46" s="52" t="s">
        <v>104</v>
      </c>
      <c r="B46" s="2" t="s">
        <v>107</v>
      </c>
    </row>
    <row r="47" spans="1:44" x14ac:dyDescent="0.2">
      <c r="A47" s="52" t="s">
        <v>113</v>
      </c>
      <c r="B47" s="2">
        <f>B44*6.01</f>
        <v>22.837999999999997</v>
      </c>
      <c r="C47" s="52" t="s">
        <v>108</v>
      </c>
    </row>
    <row r="48" spans="1:44" x14ac:dyDescent="0.2">
      <c r="A48" s="52" t="s">
        <v>112</v>
      </c>
      <c r="B48">
        <f>B44/2.14</f>
        <v>1.775700934579439</v>
      </c>
      <c r="C48" s="52" t="s">
        <v>90</v>
      </c>
    </row>
    <row r="49" spans="1:3" x14ac:dyDescent="0.2">
      <c r="A49" s="52" t="s">
        <v>112</v>
      </c>
      <c r="B49">
        <f>B47/2.14</f>
        <v>10.671962616822428</v>
      </c>
      <c r="C49" s="52" t="s">
        <v>108</v>
      </c>
    </row>
    <row r="105" spans="1:4" x14ac:dyDescent="0.2">
      <c r="A105" s="2" t="s">
        <v>13</v>
      </c>
      <c r="B105" s="2" t="s">
        <v>14</v>
      </c>
      <c r="C105" s="50" t="s">
        <v>105</v>
      </c>
      <c r="D105" s="50" t="s">
        <v>114</v>
      </c>
    </row>
    <row r="106" spans="1:4" x14ac:dyDescent="0.2">
      <c r="A106" s="2" t="s">
        <v>1</v>
      </c>
      <c r="B106" s="2">
        <v>0.3</v>
      </c>
      <c r="C106" s="50" t="s">
        <v>106</v>
      </c>
      <c r="D106" s="2">
        <v>0</v>
      </c>
    </row>
    <row r="107" spans="1:4" x14ac:dyDescent="0.2">
      <c r="A107" s="2" t="s">
        <v>12</v>
      </c>
      <c r="B107" s="2">
        <v>1</v>
      </c>
      <c r="C107" s="50" t="s">
        <v>107</v>
      </c>
      <c r="D107" s="2">
        <v>1</v>
      </c>
    </row>
    <row r="108" spans="1:4" x14ac:dyDescent="0.2">
      <c r="B108" s="2">
        <v>2</v>
      </c>
      <c r="C108" s="2"/>
    </row>
    <row r="109" spans="1:4" x14ac:dyDescent="0.2">
      <c r="B109" s="2">
        <v>3</v>
      </c>
      <c r="C109" s="2"/>
    </row>
    <row r="110" spans="1:4" x14ac:dyDescent="0.2">
      <c r="B110" s="2">
        <v>4</v>
      </c>
      <c r="C110" s="2"/>
    </row>
    <row r="111" spans="1:4" x14ac:dyDescent="0.2">
      <c r="B111" s="2">
        <v>5</v>
      </c>
      <c r="C111" s="2"/>
    </row>
    <row r="112" spans="1:4" x14ac:dyDescent="0.2">
      <c r="B112" s="2">
        <v>6</v>
      </c>
      <c r="C112" s="2"/>
    </row>
    <row r="113" spans="2:3" x14ac:dyDescent="0.2">
      <c r="B113" s="2">
        <v>7</v>
      </c>
      <c r="C113" s="2"/>
    </row>
    <row r="114" spans="2:3" x14ac:dyDescent="0.2">
      <c r="B114" s="2">
        <v>8</v>
      </c>
      <c r="C114" s="2"/>
    </row>
    <row r="115" spans="2:3" x14ac:dyDescent="0.2">
      <c r="B115" s="2">
        <v>9</v>
      </c>
      <c r="C115" s="2"/>
    </row>
    <row r="116" spans="2:3" x14ac:dyDescent="0.2">
      <c r="B116" s="2">
        <v>10</v>
      </c>
      <c r="C116" s="2"/>
    </row>
    <row r="117" spans="2:3" x14ac:dyDescent="0.2">
      <c r="B117" s="2">
        <v>11</v>
      </c>
      <c r="C117" s="2"/>
    </row>
    <row r="118" spans="2:3" x14ac:dyDescent="0.2">
      <c r="B118" s="2">
        <v>12</v>
      </c>
      <c r="C118" s="2"/>
    </row>
    <row r="119" spans="2:3" x14ac:dyDescent="0.2">
      <c r="B119" s="2">
        <v>13</v>
      </c>
      <c r="C119" s="2"/>
    </row>
    <row r="120" spans="2:3" x14ac:dyDescent="0.2">
      <c r="B120" s="2">
        <v>14</v>
      </c>
      <c r="C120" s="2"/>
    </row>
    <row r="121" spans="2:3" x14ac:dyDescent="0.2">
      <c r="B121" s="2">
        <v>15</v>
      </c>
      <c r="C121" s="2"/>
    </row>
    <row r="122" spans="2:3" x14ac:dyDescent="0.2">
      <c r="B122" s="2">
        <v>16</v>
      </c>
      <c r="C122" s="2"/>
    </row>
    <row r="123" spans="2:3" x14ac:dyDescent="0.2">
      <c r="B123" s="2">
        <v>17</v>
      </c>
      <c r="C123" s="2"/>
    </row>
    <row r="124" spans="2:3" x14ac:dyDescent="0.2">
      <c r="B124" s="2">
        <v>18</v>
      </c>
      <c r="C124" s="2"/>
    </row>
    <row r="125" spans="2:3" x14ac:dyDescent="0.2">
      <c r="B125" s="2">
        <v>19</v>
      </c>
      <c r="C125" s="2"/>
    </row>
    <row r="126" spans="2:3" x14ac:dyDescent="0.2">
      <c r="B126" s="2">
        <v>20</v>
      </c>
      <c r="C126" s="2"/>
    </row>
    <row r="127" spans="2:3" x14ac:dyDescent="0.2">
      <c r="B127" s="2">
        <v>21</v>
      </c>
      <c r="C127" s="2"/>
    </row>
    <row r="128" spans="2:3" x14ac:dyDescent="0.2">
      <c r="B128" s="2">
        <v>22</v>
      </c>
      <c r="C128" s="2"/>
    </row>
    <row r="129" spans="2:3" x14ac:dyDescent="0.2">
      <c r="B129" s="2">
        <v>23</v>
      </c>
      <c r="C129" s="2"/>
    </row>
    <row r="130" spans="2:3" x14ac:dyDescent="0.2">
      <c r="B130" s="2">
        <v>24</v>
      </c>
      <c r="C130" s="2"/>
    </row>
    <row r="131" spans="2:3" x14ac:dyDescent="0.2">
      <c r="B131" s="2">
        <v>25</v>
      </c>
      <c r="C131" s="2"/>
    </row>
    <row r="132" spans="2:3" x14ac:dyDescent="0.2">
      <c r="B132" s="2">
        <v>26</v>
      </c>
      <c r="C132" s="2"/>
    </row>
    <row r="133" spans="2:3" x14ac:dyDescent="0.2">
      <c r="B133" s="2">
        <v>27</v>
      </c>
      <c r="C133" s="2"/>
    </row>
    <row r="134" spans="2:3" x14ac:dyDescent="0.2">
      <c r="B134" s="2">
        <v>28</v>
      </c>
      <c r="C134" s="2"/>
    </row>
    <row r="135" spans="2:3" x14ac:dyDescent="0.2">
      <c r="B135" s="2">
        <v>29</v>
      </c>
      <c r="C135" s="2"/>
    </row>
    <row r="136" spans="2:3" x14ac:dyDescent="0.2">
      <c r="B136" s="2">
        <v>30</v>
      </c>
      <c r="C136" s="2"/>
    </row>
    <row r="137" spans="2:3" x14ac:dyDescent="0.2">
      <c r="B137" s="2">
        <v>31</v>
      </c>
      <c r="C137" s="2"/>
    </row>
    <row r="138" spans="2:3" x14ac:dyDescent="0.2">
      <c r="B138" s="2">
        <v>32</v>
      </c>
      <c r="C138" s="2"/>
    </row>
    <row r="139" spans="2:3" x14ac:dyDescent="0.2">
      <c r="B139" s="2">
        <v>33</v>
      </c>
      <c r="C139" s="2"/>
    </row>
    <row r="140" spans="2:3" x14ac:dyDescent="0.2">
      <c r="B140" s="2">
        <v>34</v>
      </c>
      <c r="C140" s="2"/>
    </row>
    <row r="141" spans="2:3" x14ac:dyDescent="0.2">
      <c r="B141" s="2">
        <v>35</v>
      </c>
      <c r="C141" s="2"/>
    </row>
    <row r="142" spans="2:3" x14ac:dyDescent="0.2">
      <c r="B142" s="2">
        <v>36</v>
      </c>
      <c r="C142" s="2"/>
    </row>
    <row r="143" spans="2:3" x14ac:dyDescent="0.2">
      <c r="B143" s="2">
        <v>37</v>
      </c>
      <c r="C143" s="2"/>
    </row>
    <row r="144" spans="2:3" x14ac:dyDescent="0.2">
      <c r="B144" s="2">
        <v>38</v>
      </c>
      <c r="C144" s="2"/>
    </row>
    <row r="145" spans="2:3" x14ac:dyDescent="0.2">
      <c r="B145" s="2">
        <v>39</v>
      </c>
      <c r="C145" s="2"/>
    </row>
    <row r="146" spans="2:3" x14ac:dyDescent="0.2">
      <c r="B146" s="2">
        <v>40</v>
      </c>
      <c r="C146" s="2"/>
    </row>
    <row r="147" spans="2:3" x14ac:dyDescent="0.2">
      <c r="B147" s="2">
        <v>41</v>
      </c>
      <c r="C147" s="2"/>
    </row>
    <row r="148" spans="2:3" x14ac:dyDescent="0.2">
      <c r="B148" s="2">
        <v>42</v>
      </c>
      <c r="C148" s="2"/>
    </row>
    <row r="149" spans="2:3" x14ac:dyDescent="0.2">
      <c r="B149" s="2">
        <v>43</v>
      </c>
      <c r="C149" s="2"/>
    </row>
    <row r="150" spans="2:3" x14ac:dyDescent="0.2">
      <c r="B150" s="2">
        <v>44</v>
      </c>
      <c r="C150" s="2"/>
    </row>
    <row r="151" spans="2:3" x14ac:dyDescent="0.2">
      <c r="B151" s="2">
        <v>45</v>
      </c>
      <c r="C151" s="2"/>
    </row>
    <row r="152" spans="2:3" x14ac:dyDescent="0.2">
      <c r="B152" s="2">
        <v>46</v>
      </c>
      <c r="C152" s="2"/>
    </row>
    <row r="153" spans="2:3" x14ac:dyDescent="0.2">
      <c r="B153" s="2">
        <v>47</v>
      </c>
      <c r="C153" s="2"/>
    </row>
    <row r="154" spans="2:3" x14ac:dyDescent="0.2">
      <c r="B154" s="2">
        <v>48</v>
      </c>
      <c r="C154" s="2"/>
    </row>
    <row r="155" spans="2:3" x14ac:dyDescent="0.2">
      <c r="B155" s="2">
        <v>49</v>
      </c>
      <c r="C155" s="2"/>
    </row>
    <row r="156" spans="2:3" x14ac:dyDescent="0.2">
      <c r="B156" s="2">
        <v>50</v>
      </c>
      <c r="C156" s="2"/>
    </row>
    <row r="157" spans="2:3" x14ac:dyDescent="0.2">
      <c r="B157" s="2">
        <v>51</v>
      </c>
      <c r="C157" s="2"/>
    </row>
    <row r="158" spans="2:3" x14ac:dyDescent="0.2">
      <c r="B158" s="2">
        <v>52</v>
      </c>
      <c r="C158" s="2"/>
    </row>
    <row r="159" spans="2:3" x14ac:dyDescent="0.2">
      <c r="B159" s="2">
        <v>53</v>
      </c>
      <c r="C159" s="2"/>
    </row>
    <row r="160" spans="2:3" x14ac:dyDescent="0.2">
      <c r="B160" s="2">
        <v>54</v>
      </c>
      <c r="C160" s="2"/>
    </row>
    <row r="161" spans="2:3" x14ac:dyDescent="0.2">
      <c r="B161" s="2">
        <v>55</v>
      </c>
      <c r="C161" s="2"/>
    </row>
    <row r="162" spans="2:3" x14ac:dyDescent="0.2">
      <c r="B162" s="2">
        <v>56</v>
      </c>
      <c r="C162" s="2"/>
    </row>
    <row r="163" spans="2:3" x14ac:dyDescent="0.2">
      <c r="B163" s="2">
        <v>57</v>
      </c>
      <c r="C163" s="2"/>
    </row>
    <row r="164" spans="2:3" x14ac:dyDescent="0.2">
      <c r="B164" s="2">
        <v>58</v>
      </c>
      <c r="C164" s="2"/>
    </row>
    <row r="165" spans="2:3" x14ac:dyDescent="0.2">
      <c r="B165" s="2">
        <v>59</v>
      </c>
      <c r="C165" s="2"/>
    </row>
    <row r="166" spans="2:3" x14ac:dyDescent="0.2">
      <c r="B166" s="2">
        <v>60</v>
      </c>
      <c r="C166" s="2"/>
    </row>
    <row r="167" spans="2:3" x14ac:dyDescent="0.2">
      <c r="B167" s="2">
        <v>61</v>
      </c>
      <c r="C167" s="2"/>
    </row>
    <row r="168" spans="2:3" x14ac:dyDescent="0.2">
      <c r="B168" s="2">
        <v>62</v>
      </c>
      <c r="C168" s="2"/>
    </row>
    <row r="169" spans="2:3" x14ac:dyDescent="0.2">
      <c r="B169" s="2">
        <v>63</v>
      </c>
      <c r="C169" s="2"/>
    </row>
    <row r="170" spans="2:3" x14ac:dyDescent="0.2">
      <c r="B170" s="2">
        <v>64</v>
      </c>
      <c r="C170" s="2"/>
    </row>
    <row r="171" spans="2:3" x14ac:dyDescent="0.2">
      <c r="B171" s="2">
        <v>65</v>
      </c>
      <c r="C171" s="2"/>
    </row>
    <row r="172" spans="2:3" x14ac:dyDescent="0.2">
      <c r="B172" s="2">
        <v>66</v>
      </c>
      <c r="C172" s="2"/>
    </row>
    <row r="173" spans="2:3" x14ac:dyDescent="0.2">
      <c r="B173" s="2">
        <v>67</v>
      </c>
      <c r="C173" s="2"/>
    </row>
    <row r="174" spans="2:3" x14ac:dyDescent="0.2">
      <c r="B174" s="2">
        <v>68</v>
      </c>
      <c r="C174" s="2"/>
    </row>
    <row r="175" spans="2:3" x14ac:dyDescent="0.2">
      <c r="B175" s="2">
        <v>69</v>
      </c>
      <c r="C175" s="2"/>
    </row>
    <row r="176" spans="2:3" x14ac:dyDescent="0.2">
      <c r="B176" s="2">
        <v>70</v>
      </c>
      <c r="C176" s="2"/>
    </row>
    <row r="177" spans="2:3" x14ac:dyDescent="0.2">
      <c r="B177" s="2">
        <v>71</v>
      </c>
      <c r="C177" s="2"/>
    </row>
    <row r="178" spans="2:3" x14ac:dyDescent="0.2">
      <c r="B178" s="2">
        <v>72</v>
      </c>
      <c r="C178" s="2"/>
    </row>
    <row r="179" spans="2:3" x14ac:dyDescent="0.2">
      <c r="B179" s="2">
        <v>73</v>
      </c>
      <c r="C179" s="2"/>
    </row>
    <row r="180" spans="2:3" x14ac:dyDescent="0.2">
      <c r="B180" s="2">
        <v>74</v>
      </c>
      <c r="C180" s="2"/>
    </row>
    <row r="181" spans="2:3" x14ac:dyDescent="0.2">
      <c r="B181" s="2">
        <v>75</v>
      </c>
      <c r="C181" s="2"/>
    </row>
    <row r="182" spans="2:3" x14ac:dyDescent="0.2">
      <c r="B182" s="2">
        <v>76</v>
      </c>
      <c r="C182" s="2"/>
    </row>
    <row r="183" spans="2:3" x14ac:dyDescent="0.2">
      <c r="B183" s="2">
        <v>77</v>
      </c>
      <c r="C183" s="2"/>
    </row>
    <row r="184" spans="2:3" x14ac:dyDescent="0.2">
      <c r="B184" s="2">
        <v>78</v>
      </c>
      <c r="C184" s="2"/>
    </row>
    <row r="185" spans="2:3" x14ac:dyDescent="0.2">
      <c r="B185" s="2">
        <v>79</v>
      </c>
      <c r="C185" s="2"/>
    </row>
    <row r="186" spans="2:3" x14ac:dyDescent="0.2">
      <c r="B186" s="2">
        <v>80</v>
      </c>
      <c r="C186" s="2"/>
    </row>
    <row r="187" spans="2:3" x14ac:dyDescent="0.2">
      <c r="B187" s="2">
        <v>81</v>
      </c>
    </row>
    <row r="188" spans="2:3" x14ac:dyDescent="0.2">
      <c r="B188" s="2">
        <v>82</v>
      </c>
    </row>
    <row r="189" spans="2:3" x14ac:dyDescent="0.2">
      <c r="B189" s="2">
        <v>83</v>
      </c>
    </row>
    <row r="190" spans="2:3" x14ac:dyDescent="0.2">
      <c r="B190" s="2">
        <v>84</v>
      </c>
    </row>
    <row r="191" spans="2:3" x14ac:dyDescent="0.2">
      <c r="B191" s="2">
        <v>85</v>
      </c>
    </row>
    <row r="192" spans="2:3" x14ac:dyDescent="0.2">
      <c r="B192" s="2">
        <v>86</v>
      </c>
    </row>
    <row r="193" spans="2:2" x14ac:dyDescent="0.2">
      <c r="B193" s="2">
        <v>87</v>
      </c>
    </row>
    <row r="194" spans="2:2" x14ac:dyDescent="0.2">
      <c r="B194" s="2">
        <v>88</v>
      </c>
    </row>
    <row r="195" spans="2:2" x14ac:dyDescent="0.2">
      <c r="B195" s="2">
        <v>89</v>
      </c>
    </row>
    <row r="196" spans="2:2" x14ac:dyDescent="0.2">
      <c r="B196" s="2">
        <v>90</v>
      </c>
    </row>
    <row r="197" spans="2:2" x14ac:dyDescent="0.2">
      <c r="B197" s="2">
        <v>91</v>
      </c>
    </row>
    <row r="198" spans="2:2" x14ac:dyDescent="0.2">
      <c r="B198" s="2">
        <v>92</v>
      </c>
    </row>
    <row r="199" spans="2:2" x14ac:dyDescent="0.2">
      <c r="B199" s="2">
        <v>93</v>
      </c>
    </row>
    <row r="200" spans="2:2" x14ac:dyDescent="0.2">
      <c r="B200" s="2">
        <v>94</v>
      </c>
    </row>
    <row r="201" spans="2:2" x14ac:dyDescent="0.2">
      <c r="B201" s="2">
        <v>95</v>
      </c>
    </row>
    <row r="202" spans="2:2" x14ac:dyDescent="0.2">
      <c r="B202" s="2">
        <v>96</v>
      </c>
    </row>
    <row r="203" spans="2:2" x14ac:dyDescent="0.2">
      <c r="B203" s="2">
        <v>97</v>
      </c>
    </row>
    <row r="204" spans="2:2" x14ac:dyDescent="0.2">
      <c r="B204" s="2">
        <v>98</v>
      </c>
    </row>
    <row r="205" spans="2:2" x14ac:dyDescent="0.2">
      <c r="B205" s="2">
        <v>99</v>
      </c>
    </row>
  </sheetData>
  <phoneticPr fontId="2" type="noConversion"/>
  <conditionalFormatting sqref="C7:X32">
    <cfRule type="cellIs" dxfId="27" priority="13" operator="lessThan">
      <formula>59.999</formula>
    </cfRule>
    <cfRule type="cellIs" dxfId="26" priority="14" operator="between">
      <formula>60</formula>
      <formula>89.999</formula>
    </cfRule>
    <cfRule type="cellIs" dxfId="25" priority="15" operator="between">
      <formula>140</formula>
      <formula>90</formula>
    </cfRule>
    <cfRule type="cellIs" dxfId="24" priority="18" operator="greaterThan">
      <formula>140</formula>
    </cfRule>
  </conditionalFormatting>
  <conditionalFormatting sqref="Y7:Y32">
    <cfRule type="cellIs" dxfId="11" priority="1" operator="lessThan">
      <formula>59.999</formula>
    </cfRule>
    <cfRule type="cellIs" dxfId="10" priority="2" operator="between">
      <formula>60</formula>
      <formula>89.999</formula>
    </cfRule>
    <cfRule type="cellIs" dxfId="9" priority="3" operator="between">
      <formula>140</formula>
      <formula>90</formula>
    </cfRule>
    <cfRule type="cellIs" dxfId="8" priority="4" operator="greaterThan">
      <formula>140</formula>
    </cfRule>
  </conditionalFormatting>
  <dataValidations count="5">
    <dataValidation type="list" allowBlank="1" showInputMessage="1" showErrorMessage="1" sqref="B35">
      <formula1>$A$106:$A$107</formula1>
    </dataValidation>
    <dataValidation type="list" allowBlank="1" showInputMessage="1" showErrorMessage="1" sqref="B36">
      <formula1>#REF!</formula1>
    </dataValidation>
    <dataValidation type="list" allowBlank="1" showInputMessage="1" showErrorMessage="1" sqref="B34">
      <formula1>$B$106:$B$205</formula1>
    </dataValidation>
    <dataValidation type="list" allowBlank="1" showInputMessage="1" showErrorMessage="1" sqref="B46">
      <formula1>$C$106:$C$107</formula1>
    </dataValidation>
    <dataValidation type="list" allowBlank="1" showInputMessage="1" showErrorMessage="1" sqref="B42">
      <formula1>$D$106:$D$107</formula1>
    </dataValidation>
  </dataValidations>
  <pageMargins left="0.78740157499999996" right="0.78740157499999996" top="0.984251969" bottom="0.984251969" header="0.4921259845" footer="0.4921259845"/>
  <pageSetup paperSize="55" scale="85" orientation="landscape" horizontalDpi="1200" verticalDpi="1200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5"/>
  <sheetViews>
    <sheetView tabSelected="1" topLeftCell="H4" zoomScaleNormal="100" workbookViewId="0">
      <selection activeCell="U36" sqref="U36"/>
    </sheetView>
  </sheetViews>
  <sheetFormatPr baseColWidth="10" defaultRowHeight="12.75" x14ac:dyDescent="0.2"/>
  <cols>
    <col min="1" max="1" width="16.7109375" customWidth="1"/>
    <col min="2" max="2" width="12.5703125" customWidth="1"/>
    <col min="3" max="3" width="15.5703125" customWidth="1"/>
    <col min="4" max="4" width="15.85546875" customWidth="1"/>
    <col min="5" max="5" width="16.140625" customWidth="1"/>
    <col min="9" max="9" width="12.7109375" customWidth="1"/>
    <col min="11" max="11" width="13.42578125" customWidth="1"/>
    <col min="17" max="17" width="17.28515625" customWidth="1"/>
    <col min="19" max="20" width="12.7109375" customWidth="1"/>
    <col min="25" max="25" width="18.7109375" customWidth="1"/>
    <col min="26" max="26" width="12.140625" customWidth="1"/>
    <col min="27" max="28" width="16.140625" customWidth="1"/>
    <col min="29" max="29" width="15" customWidth="1"/>
  </cols>
  <sheetData>
    <row r="1" spans="1:20" x14ac:dyDescent="0.2">
      <c r="A1" s="14" t="s">
        <v>34</v>
      </c>
      <c r="B1" s="15">
        <v>2000</v>
      </c>
      <c r="C1" s="15">
        <v>2003</v>
      </c>
      <c r="D1" s="15">
        <v>2003</v>
      </c>
      <c r="E1" s="15">
        <v>2004</v>
      </c>
      <c r="F1" s="15">
        <v>2004</v>
      </c>
      <c r="G1" s="15">
        <v>2005</v>
      </c>
      <c r="H1" s="18">
        <v>2005</v>
      </c>
      <c r="I1" s="15">
        <v>2005</v>
      </c>
      <c r="J1" s="15">
        <v>2006</v>
      </c>
      <c r="K1" s="15">
        <v>2006</v>
      </c>
      <c r="L1" s="15">
        <v>2006</v>
      </c>
      <c r="M1" s="15">
        <v>2006</v>
      </c>
      <c r="N1" s="18">
        <v>2009</v>
      </c>
      <c r="O1" s="41">
        <v>2006</v>
      </c>
      <c r="P1" s="41">
        <v>2006</v>
      </c>
      <c r="S1" s="41">
        <v>2014</v>
      </c>
    </row>
    <row r="2" spans="1:20" x14ac:dyDescent="0.2">
      <c r="A2" s="16" t="s">
        <v>35</v>
      </c>
      <c r="B2" s="17" t="s">
        <v>46</v>
      </c>
      <c r="C2" s="17" t="s">
        <v>46</v>
      </c>
      <c r="D2" s="17" t="s">
        <v>46</v>
      </c>
      <c r="E2" s="18" t="s">
        <v>47</v>
      </c>
      <c r="F2" s="18" t="s">
        <v>47</v>
      </c>
      <c r="G2" s="17" t="s">
        <v>46</v>
      </c>
      <c r="H2" s="17" t="s">
        <v>46</v>
      </c>
      <c r="I2" s="17" t="s">
        <v>46</v>
      </c>
      <c r="J2" s="17" t="s">
        <v>46</v>
      </c>
      <c r="K2" s="18" t="s">
        <v>47</v>
      </c>
      <c r="L2" s="18" t="s">
        <v>47</v>
      </c>
      <c r="M2" s="18" t="s">
        <v>47</v>
      </c>
      <c r="N2" s="17" t="s">
        <v>46</v>
      </c>
      <c r="O2" s="45" t="s">
        <v>46</v>
      </c>
      <c r="P2" s="18" t="s">
        <v>47</v>
      </c>
      <c r="Q2" s="45" t="s">
        <v>46</v>
      </c>
      <c r="R2" s="45" t="s">
        <v>46</v>
      </c>
      <c r="S2" s="45" t="s">
        <v>46</v>
      </c>
    </row>
    <row r="3" spans="1:20" ht="63.75" x14ac:dyDescent="0.2">
      <c r="A3" s="16" t="s">
        <v>36</v>
      </c>
      <c r="B3" s="18" t="s">
        <v>53</v>
      </c>
      <c r="C3" s="18" t="s">
        <v>39</v>
      </c>
      <c r="D3" s="18" t="s">
        <v>37</v>
      </c>
      <c r="E3" s="18" t="s">
        <v>39</v>
      </c>
      <c r="F3" s="18" t="s">
        <v>39</v>
      </c>
      <c r="G3" s="18" t="s">
        <v>55</v>
      </c>
      <c r="H3" s="18" t="s">
        <v>56</v>
      </c>
      <c r="I3" s="18" t="s">
        <v>39</v>
      </c>
      <c r="J3" s="18" t="s">
        <v>50</v>
      </c>
      <c r="K3" s="18" t="s">
        <v>39</v>
      </c>
      <c r="L3" s="18" t="s">
        <v>53</v>
      </c>
      <c r="M3" s="20"/>
      <c r="N3" s="60" t="s">
        <v>132</v>
      </c>
      <c r="O3" s="43" t="s">
        <v>37</v>
      </c>
      <c r="P3" s="43" t="s">
        <v>37</v>
      </c>
      <c r="Q3" s="59" t="s">
        <v>128</v>
      </c>
      <c r="R3" s="59" t="s">
        <v>160</v>
      </c>
      <c r="S3" s="59" t="s">
        <v>126</v>
      </c>
    </row>
    <row r="4" spans="1:20" x14ac:dyDescent="0.2">
      <c r="A4" s="93" t="s">
        <v>144</v>
      </c>
      <c r="B4" s="20"/>
      <c r="C4" s="20"/>
      <c r="D4" s="20"/>
      <c r="E4" s="20"/>
      <c r="F4" s="20"/>
      <c r="G4" s="20"/>
      <c r="H4" s="20" t="s">
        <v>61</v>
      </c>
      <c r="I4" s="20"/>
      <c r="J4" s="20"/>
      <c r="K4" s="20"/>
      <c r="L4" s="20"/>
      <c r="M4" s="20"/>
      <c r="N4" s="20"/>
      <c r="O4" s="47" t="s">
        <v>98</v>
      </c>
      <c r="P4" s="47" t="s">
        <v>98</v>
      </c>
      <c r="Q4" s="47" t="s">
        <v>39</v>
      </c>
      <c r="R4" s="47"/>
      <c r="S4" s="47" t="s">
        <v>101</v>
      </c>
    </row>
    <row r="5" spans="1:20" ht="51.75" thickBot="1" x14ac:dyDescent="0.25">
      <c r="A5" s="92" t="s">
        <v>143</v>
      </c>
      <c r="B5" s="67"/>
      <c r="C5" s="67"/>
      <c r="D5" s="67"/>
      <c r="E5" s="67"/>
      <c r="F5" s="67"/>
      <c r="G5" s="68" t="s">
        <v>26</v>
      </c>
      <c r="H5" s="68" t="s">
        <v>83</v>
      </c>
      <c r="I5" s="67"/>
      <c r="J5" s="67"/>
      <c r="K5" s="67"/>
      <c r="L5" s="67"/>
      <c r="M5" s="67"/>
      <c r="N5" s="64" t="s">
        <v>131</v>
      </c>
      <c r="O5" s="65" t="s">
        <v>129</v>
      </c>
      <c r="P5" s="66" t="s">
        <v>97</v>
      </c>
      <c r="Q5" s="69" t="s">
        <v>130</v>
      </c>
      <c r="R5" s="69" t="s">
        <v>139</v>
      </c>
      <c r="S5" s="66" t="s">
        <v>14</v>
      </c>
      <c r="T5" s="69" t="s">
        <v>164</v>
      </c>
    </row>
    <row r="6" spans="1:20" ht="39" thickBot="1" x14ac:dyDescent="0.25">
      <c r="A6" s="4" t="s">
        <v>9</v>
      </c>
      <c r="B6" s="4" t="s">
        <v>17</v>
      </c>
      <c r="C6" s="5" t="s">
        <v>18</v>
      </c>
      <c r="D6" s="5" t="s">
        <v>19</v>
      </c>
      <c r="E6" s="5" t="s">
        <v>20</v>
      </c>
      <c r="F6" s="5" t="s">
        <v>21</v>
      </c>
      <c r="G6" s="5" t="s">
        <v>23</v>
      </c>
      <c r="H6" s="5" t="s">
        <v>24</v>
      </c>
      <c r="I6" s="5" t="s">
        <v>33</v>
      </c>
      <c r="J6" s="5" t="s">
        <v>48</v>
      </c>
      <c r="K6" s="5" t="s">
        <v>32</v>
      </c>
      <c r="L6" s="5" t="s">
        <v>22</v>
      </c>
      <c r="M6" s="5" t="s">
        <v>58</v>
      </c>
      <c r="N6" s="46" t="s">
        <v>84</v>
      </c>
      <c r="O6" s="37" t="s">
        <v>93</v>
      </c>
      <c r="P6" s="37" t="s">
        <v>96</v>
      </c>
      <c r="Q6" s="37" t="s">
        <v>127</v>
      </c>
      <c r="R6" s="70" t="s">
        <v>148</v>
      </c>
      <c r="S6" s="37" t="s">
        <v>99</v>
      </c>
      <c r="T6" s="37" t="s">
        <v>163</v>
      </c>
    </row>
    <row r="7" spans="1:20" ht="13.5" thickTop="1" x14ac:dyDescent="0.2">
      <c r="A7" s="10">
        <v>0.53</v>
      </c>
      <c r="B7" s="3">
        <f>78*(1/(A7))+4</f>
        <v>151.16981132075469</v>
      </c>
      <c r="C7" s="3">
        <f>-4.32+(80.35/A7)</f>
        <v>147.28377358490565</v>
      </c>
      <c r="D7" s="3">
        <f>POWER(10,(1.962+(1.132*LOG(1/A7,10))))</f>
        <v>187.98349320082298</v>
      </c>
      <c r="E7" s="3">
        <f>77.24*(POWER(A7,-1.2623))</f>
        <v>172.14278897202618</v>
      </c>
      <c r="F7" s="3">
        <f>99.43*(POWER(A7,-1.5837))</f>
        <v>271.75762895774398</v>
      </c>
      <c r="G7" s="3">
        <f>99.19*(POWER(A7,-1.713))*IF($B$35="m",1,0.823)</f>
        <v>242.20503151909705</v>
      </c>
      <c r="H7" s="3">
        <f>86.49*(POWER(A7,-1.686))*IF($B$35="m",1,0.948)*IF($B$34&lt;14,1.384,1)</f>
        <v>239.13608684714927</v>
      </c>
      <c r="I7" s="3">
        <f>(119/A7)-33</f>
        <v>191.52830188679243</v>
      </c>
      <c r="J7" s="3">
        <f>119/A7</f>
        <v>224.52830188679243</v>
      </c>
      <c r="K7" s="3">
        <f>(84.6/A7)-3.2</f>
        <v>156.42264150943396</v>
      </c>
      <c r="L7" s="3">
        <f>76.6*(POWER(A7,-1.16))</f>
        <v>159.9811303189411</v>
      </c>
      <c r="M7" s="3">
        <f>74.835*(A7^(-1/0.75 ))</f>
        <v>174.47649845458801</v>
      </c>
      <c r="N7" s="3">
        <f>39.8*POWER((($B$37/100)/($B$38*$A$41)),0.456*POWER((1.8/A7),0.418)*POWER((30/$B$49),0.079*POWER((($B$37/100)/1.4),0.179)*IF($B$35="w",1.076,1)))</f>
        <v>37.035513854771175</v>
      </c>
      <c r="O7" s="3">
        <f>((507.76*EXP(0.003*$B$37))/(POWER(A7,0.635)*POWER($B$38,0.547)))*IF($B$42=0,1,1.165)</f>
        <v>79.041362720597206</v>
      </c>
      <c r="P7" s="71">
        <f>(63.2*POWER($B$38/96,-0.35)*POWER(A7/1.2,-0.56)*POWER($B$36/45,0.3)*POWER($B$34/14,0.4))</f>
        <v>196.69115396856787</v>
      </c>
      <c r="Q7" s="3">
        <f>IF(A7&lt;=0.8,133*POWER(A7/0.8,-0.499)*POWER(0.996,$B$34)*IF($B$35="m",1,0.932),133*POWER(A7/0.8,-1.328)*POWER(0.996,$B$34)*IF($B$35="m",1,0.932))</f>
        <v>114.98719702374191</v>
      </c>
      <c r="R7" s="3">
        <f>(130+(5*($B$35="m")))*($B$39/(0.7+(0.2*($B$35="m"))))^(-0.601+(0.353*($B$39&lt;=(0.7+(0.2*($B$35="m"))))+(0.041*($B$35="m")*($B$39&lt;=(0.7+(0.2*($B$35="m")))))))*(A7/0.8)^(-0.375+(-0.3361*(A7&gt;0.8)))*0.995^$B$34*(1+($B$46="Ja")*0.08)</f>
        <v>66.843102627974076</v>
      </c>
      <c r="S7" s="3">
        <f>130*POWER(A7,-1.069)*POWER($B$34,-0.117)-7</f>
        <v>148.88918158670532</v>
      </c>
      <c r="T7" s="3">
        <f>767*POWER(A7,-0.61)*POWER($B$39,-0.4)*POWER($B$34,-0.57)*IF($B$35="m",1,0.87)</f>
        <v>73.668513039327777</v>
      </c>
    </row>
    <row r="8" spans="1:20" x14ac:dyDescent="0.2">
      <c r="A8" s="11">
        <v>0.6</v>
      </c>
      <c r="B8" s="3">
        <f t="shared" ref="B8:B32" si="0">78*(1/(A8))+4</f>
        <v>134</v>
      </c>
      <c r="C8" s="3">
        <f t="shared" ref="C8:C32" si="1">-4.32+(80.35/A8)</f>
        <v>129.59666666666666</v>
      </c>
      <c r="D8" s="3">
        <f t="shared" ref="D8:D32" si="2">POWER(10,(1.962+(1.132*LOG(1/A8,10))))</f>
        <v>163.35513262099843</v>
      </c>
      <c r="E8" s="3">
        <f t="shared" ref="E8:E32" si="3">77.24*(POWER(A8,-1.2623))</f>
        <v>147.19123246171196</v>
      </c>
      <c r="F8" s="3">
        <f t="shared" ref="F8:F32" si="4">99.43*(POWER(A8,-1.5837))</f>
        <v>223.28487428286874</v>
      </c>
      <c r="G8" s="3">
        <f t="shared" ref="G8:G32" si="5">99.19*(POWER(A8,-1.713))*IF($B$35="m",1,0.823)</f>
        <v>195.83694857023349</v>
      </c>
      <c r="H8" s="3">
        <f t="shared" ref="H8:H32" si="6">86.49*(POWER(A8,-1.686))*IF($B$35="m",1,0.948)*IF($B$34&lt;14,1.384,1)</f>
        <v>194.00424208868185</v>
      </c>
      <c r="I8" s="3">
        <f t="shared" ref="I8:I32" si="7">(119/A8)-33</f>
        <v>165.33333333333334</v>
      </c>
      <c r="J8" s="3">
        <f t="shared" ref="J8:J32" si="8">119/A8</f>
        <v>198.33333333333334</v>
      </c>
      <c r="K8" s="3">
        <f t="shared" ref="K8:K32" si="9">(84.6/A8)-3.2</f>
        <v>137.80000000000001</v>
      </c>
      <c r="L8" s="3">
        <f t="shared" ref="L8:L32" si="10">76.6*(POWER(A8,-1.16))</f>
        <v>138.5394053488931</v>
      </c>
      <c r="M8" s="3">
        <f t="shared" ref="M8:M32" si="11">74.835*(A8^(-1/0.75 ))</f>
        <v>147.87783913417437</v>
      </c>
      <c r="N8" s="3">
        <f t="shared" ref="N8:N32" si="12">39.8*POWER((($B$37/100)/($B$38*$A$41)),0.456*POWER((1.8/A8),0.418)*POWER((30/$B$49),0.079*POWER((($B$37/100)/1.4),0.179)*IF($B$35="w",1.076,1)))</f>
        <v>37.170487661833256</v>
      </c>
      <c r="O8" s="3">
        <f t="shared" ref="O8:O32" si="13">((507.76*EXP(0.003*$B$37))/(POWER(A8,0.635)*POWER($B$38,0.547)))*IF($B$42=0,1,1.165)</f>
        <v>73.053924649985021</v>
      </c>
      <c r="P8" s="3">
        <f t="shared" ref="P8:P32" si="14">(63.2*POWER($B$38/96,-0.35)*POWER(A8/1.2,-0.56)*POWER($B$36/45,0.3)*POWER($B$34/14,0.4))</f>
        <v>183.490935587298</v>
      </c>
      <c r="Q8" s="3">
        <f t="shared" ref="Q8:Q32" si="15">IF(A8&lt;=0.8,133*POWER(A8/0.8,-0.499)*POWER(0.995,$B$34)*IF($B$35="m",1,0.932),133*POWER(A8/0.8,-1.328)*POWER(0.995,$B$34)*IF($B$35="m",1,0.932))</f>
        <v>100.74595895862277</v>
      </c>
      <c r="R8" s="3">
        <f t="shared" ref="R8:R32" si="16">(130+(5*($B$35="m")))*($B$39/(0.7+(0.2*($B$35="m"))))^(-0.601+(0.353*($B$39&lt;=(0.7+(0.2*($B$35="m"))))+(0.041*($B$35="m")*($B$39&lt;=(0.7+(0.2*($B$35="m")))))))*(A8/0.8)^(-0.375+(-0.3361*(A8&gt;0.8)))*0.995^$B$34*(1+($B$46="Ja")*0.08)</f>
        <v>63.804797160629199</v>
      </c>
      <c r="S8" s="3">
        <f t="shared" ref="S8:S32" si="17">130*POWER(A8,-1.069)*POWER($B$34,-0.117)-7</f>
        <v>129.52846107596181</v>
      </c>
      <c r="T8" s="3">
        <f t="shared" ref="T8:T32" si="18">767*POWER(A8,-0.61)*POWER($B$39,-0.4)*POWER($B$34,-0.57)*IF($B$35="m",1,0.87)</f>
        <v>68.299562482009932</v>
      </c>
    </row>
    <row r="9" spans="1:20" x14ac:dyDescent="0.2">
      <c r="A9" s="12">
        <v>0.7</v>
      </c>
      <c r="B9" s="6">
        <f t="shared" si="0"/>
        <v>115.42857142857143</v>
      </c>
      <c r="C9" s="3">
        <f t="shared" si="1"/>
        <v>110.46571428571428</v>
      </c>
      <c r="D9" s="3">
        <f t="shared" si="2"/>
        <v>137.19839116123447</v>
      </c>
      <c r="E9" s="3">
        <f t="shared" si="3"/>
        <v>121.16439250947407</v>
      </c>
      <c r="F9" s="3">
        <f t="shared" si="4"/>
        <v>174.91847140931682</v>
      </c>
      <c r="G9" s="3">
        <f t="shared" si="5"/>
        <v>150.38855377796392</v>
      </c>
      <c r="H9" s="3">
        <f t="shared" si="6"/>
        <v>149.60253028572998</v>
      </c>
      <c r="I9" s="3">
        <f t="shared" si="7"/>
        <v>137</v>
      </c>
      <c r="J9" s="3">
        <f t="shared" si="8"/>
        <v>170</v>
      </c>
      <c r="K9" s="3">
        <f t="shared" si="9"/>
        <v>117.65714285714286</v>
      </c>
      <c r="L9" s="3">
        <f t="shared" si="10"/>
        <v>115.85506980390548</v>
      </c>
      <c r="M9" s="3">
        <f t="shared" si="11"/>
        <v>120.40394304713895</v>
      </c>
      <c r="N9" s="3">
        <f t="shared" si="12"/>
        <v>37.329371521548488</v>
      </c>
      <c r="O9" s="3">
        <f t="shared" si="13"/>
        <v>66.241832920370712</v>
      </c>
      <c r="P9" s="3">
        <f t="shared" si="14"/>
        <v>168.31561678166963</v>
      </c>
      <c r="Q9" s="3">
        <f t="shared" si="15"/>
        <v>93.287012922908417</v>
      </c>
      <c r="R9" s="3">
        <f t="shared" si="16"/>
        <v>60.221044834539121</v>
      </c>
      <c r="S9" s="3">
        <f t="shared" si="17"/>
        <v>108.78627354201031</v>
      </c>
      <c r="T9" s="3">
        <f t="shared" si="18"/>
        <v>62.169930229959704</v>
      </c>
    </row>
    <row r="10" spans="1:20" x14ac:dyDescent="0.2">
      <c r="A10" s="12">
        <v>0.8</v>
      </c>
      <c r="B10" s="6">
        <f t="shared" si="0"/>
        <v>101.5</v>
      </c>
      <c r="C10" s="3">
        <f t="shared" si="1"/>
        <v>96.117499999999978</v>
      </c>
      <c r="D10" s="3">
        <f t="shared" si="2"/>
        <v>117.95113783237537</v>
      </c>
      <c r="E10" s="3">
        <f t="shared" si="3"/>
        <v>102.36978107713276</v>
      </c>
      <c r="F10" s="3">
        <f t="shared" si="4"/>
        <v>141.57736562594695</v>
      </c>
      <c r="G10" s="3">
        <f t="shared" si="5"/>
        <v>119.63949680626445</v>
      </c>
      <c r="H10" s="3">
        <f t="shared" si="6"/>
        <v>119.44404883094771</v>
      </c>
      <c r="I10" s="3">
        <f t="shared" si="7"/>
        <v>115.75</v>
      </c>
      <c r="J10" s="3">
        <f t="shared" si="8"/>
        <v>148.75</v>
      </c>
      <c r="K10" s="3">
        <f t="shared" si="9"/>
        <v>102.54999999999998</v>
      </c>
      <c r="L10" s="3">
        <f t="shared" si="10"/>
        <v>99.230318364573009</v>
      </c>
      <c r="M10" s="3">
        <f t="shared" si="11"/>
        <v>100.766950017835</v>
      </c>
      <c r="N10" s="3">
        <f t="shared" si="12"/>
        <v>37.459468836597217</v>
      </c>
      <c r="O10" s="3">
        <f t="shared" si="13"/>
        <v>60.856567702829032</v>
      </c>
      <c r="P10" s="3">
        <f t="shared" si="14"/>
        <v>156.18845270947403</v>
      </c>
      <c r="Q10" s="3">
        <f t="shared" si="15"/>
        <v>87.273663244023822</v>
      </c>
      <c r="R10" s="3">
        <f t="shared" si="16"/>
        <v>57.279775365907689</v>
      </c>
      <c r="S10" s="3">
        <f t="shared" si="17"/>
        <v>93.383812430907483</v>
      </c>
      <c r="T10" s="3">
        <f t="shared" si="18"/>
        <v>57.306685742191441</v>
      </c>
    </row>
    <row r="11" spans="1:20" x14ac:dyDescent="0.2">
      <c r="A11" s="12">
        <v>0.95</v>
      </c>
      <c r="B11" s="6">
        <f t="shared" si="0"/>
        <v>86.105263157894726</v>
      </c>
      <c r="C11" s="3">
        <f t="shared" si="1"/>
        <v>80.258947368421047</v>
      </c>
      <c r="D11" s="3">
        <f t="shared" si="2"/>
        <v>97.09947434122661</v>
      </c>
      <c r="E11" s="3">
        <f t="shared" si="3"/>
        <v>82.406554863487727</v>
      </c>
      <c r="F11" s="3">
        <f t="shared" si="4"/>
        <v>107.84414352420845</v>
      </c>
      <c r="G11" s="3">
        <f t="shared" si="5"/>
        <v>89.130673789345678</v>
      </c>
      <c r="H11" s="3">
        <f t="shared" si="6"/>
        <v>89.398912522596873</v>
      </c>
      <c r="I11" s="3">
        <f t="shared" si="7"/>
        <v>92.26315789473685</v>
      </c>
      <c r="J11" s="3">
        <f t="shared" si="8"/>
        <v>125.26315789473685</v>
      </c>
      <c r="K11" s="3">
        <f t="shared" si="9"/>
        <v>85.852631578947367</v>
      </c>
      <c r="L11" s="3">
        <f t="shared" si="10"/>
        <v>81.296039297254367</v>
      </c>
      <c r="M11" s="3">
        <f t="shared" si="11"/>
        <v>80.132118134295837</v>
      </c>
      <c r="N11" s="3">
        <f t="shared" si="12"/>
        <v>37.61716502125045</v>
      </c>
      <c r="O11" s="3">
        <f t="shared" si="13"/>
        <v>54.565119037138658</v>
      </c>
      <c r="P11" s="3">
        <f t="shared" si="14"/>
        <v>141.85808613769427</v>
      </c>
      <c r="Q11" s="3">
        <f t="shared" si="15"/>
        <v>69.46559507292092</v>
      </c>
      <c r="R11" s="3">
        <f t="shared" si="16"/>
        <v>50.69082274467798</v>
      </c>
      <c r="S11" s="3">
        <f t="shared" si="17"/>
        <v>76.537283303915018</v>
      </c>
      <c r="T11" s="3">
        <f t="shared" si="18"/>
        <v>51.603455629457784</v>
      </c>
    </row>
    <row r="12" spans="1:20" x14ac:dyDescent="0.2">
      <c r="A12" s="12">
        <v>1</v>
      </c>
      <c r="B12" s="6">
        <f t="shared" si="0"/>
        <v>82</v>
      </c>
      <c r="C12" s="3">
        <f t="shared" si="1"/>
        <v>76.03</v>
      </c>
      <c r="D12" s="3">
        <f t="shared" si="2"/>
        <v>91.622049012200009</v>
      </c>
      <c r="E12" s="3">
        <f t="shared" si="3"/>
        <v>77.239999999999995</v>
      </c>
      <c r="F12" s="3">
        <f t="shared" si="4"/>
        <v>99.43</v>
      </c>
      <c r="G12" s="3">
        <f t="shared" si="5"/>
        <v>81.633369999999999</v>
      </c>
      <c r="H12" s="3">
        <f t="shared" si="6"/>
        <v>81.992519999999985</v>
      </c>
      <c r="I12" s="3">
        <f t="shared" si="7"/>
        <v>86</v>
      </c>
      <c r="J12" s="3">
        <f t="shared" si="8"/>
        <v>119</v>
      </c>
      <c r="K12" s="3">
        <f t="shared" si="9"/>
        <v>81.399999999999991</v>
      </c>
      <c r="L12" s="3">
        <f t="shared" si="10"/>
        <v>76.599999999999994</v>
      </c>
      <c r="M12" s="3">
        <f t="shared" si="11"/>
        <v>74.834999999999994</v>
      </c>
      <c r="N12" s="3">
        <f t="shared" si="12"/>
        <v>37.662201466011638</v>
      </c>
      <c r="O12" s="3">
        <f t="shared" si="13"/>
        <v>52.816497322104873</v>
      </c>
      <c r="P12" s="3">
        <f t="shared" si="14"/>
        <v>137.84128569501635</v>
      </c>
      <c r="Q12" s="3">
        <f t="shared" si="15"/>
        <v>64.891334898284995</v>
      </c>
      <c r="R12" s="3">
        <f t="shared" si="16"/>
        <v>48.875205437455477</v>
      </c>
      <c r="S12" s="3">
        <f t="shared" si="17"/>
        <v>72.080040238554801</v>
      </c>
      <c r="T12" s="3">
        <f t="shared" si="18"/>
        <v>50.013838154778995</v>
      </c>
    </row>
    <row r="13" spans="1:20" x14ac:dyDescent="0.2">
      <c r="A13" s="11">
        <v>1.1000000000000001</v>
      </c>
      <c r="B13" s="3">
        <f t="shared" si="0"/>
        <v>74.909090909090907</v>
      </c>
      <c r="C13" s="3">
        <f t="shared" si="1"/>
        <v>68.725454545454539</v>
      </c>
      <c r="D13" s="3">
        <f t="shared" si="2"/>
        <v>82.251434392492854</v>
      </c>
      <c r="E13" s="3">
        <f t="shared" si="3"/>
        <v>68.484498308568789</v>
      </c>
      <c r="F13" s="3">
        <f t="shared" si="4"/>
        <v>85.499552946733786</v>
      </c>
      <c r="G13" s="3">
        <f t="shared" si="5"/>
        <v>69.336522422101893</v>
      </c>
      <c r="H13" s="3">
        <f t="shared" si="6"/>
        <v>69.821016500324518</v>
      </c>
      <c r="I13" s="3">
        <f t="shared" si="7"/>
        <v>75.181818181818173</v>
      </c>
      <c r="J13" s="3">
        <f t="shared" si="8"/>
        <v>108.18181818181817</v>
      </c>
      <c r="K13" s="3">
        <f t="shared" si="9"/>
        <v>73.709090909090889</v>
      </c>
      <c r="L13" s="3">
        <f t="shared" si="10"/>
        <v>68.582490948932545</v>
      </c>
      <c r="M13" s="3">
        <f t="shared" si="11"/>
        <v>65.904416023495287</v>
      </c>
      <c r="N13" s="3">
        <f t="shared" si="12"/>
        <v>37.743500329409535</v>
      </c>
      <c r="O13" s="3">
        <f t="shared" si="13"/>
        <v>49.714747875223203</v>
      </c>
      <c r="P13" s="3">
        <f t="shared" si="14"/>
        <v>130.67707700830752</v>
      </c>
      <c r="Q13" s="3">
        <f t="shared" si="15"/>
        <v>57.176454632998848</v>
      </c>
      <c r="R13" s="3">
        <f t="shared" si="16"/>
        <v>45.672444577968918</v>
      </c>
      <c r="S13" s="3">
        <f t="shared" si="17"/>
        <v>64.419713089201338</v>
      </c>
      <c r="T13" s="3">
        <f t="shared" si="18"/>
        <v>47.188986124914848</v>
      </c>
    </row>
    <row r="14" spans="1:20" x14ac:dyDescent="0.2">
      <c r="A14" s="11">
        <v>1.2</v>
      </c>
      <c r="B14" s="3">
        <f t="shared" si="0"/>
        <v>69</v>
      </c>
      <c r="C14" s="3">
        <f t="shared" si="1"/>
        <v>62.638333333333328</v>
      </c>
      <c r="D14" s="3">
        <f t="shared" si="2"/>
        <v>74.536128203180922</v>
      </c>
      <c r="E14" s="3">
        <f t="shared" si="3"/>
        <v>61.360908095467856</v>
      </c>
      <c r="F14" s="3">
        <f t="shared" si="4"/>
        <v>74.493452044108665</v>
      </c>
      <c r="G14" s="3">
        <f t="shared" si="5"/>
        <v>59.73519022017426</v>
      </c>
      <c r="H14" s="3">
        <f t="shared" si="6"/>
        <v>60.294077329626155</v>
      </c>
      <c r="I14" s="3">
        <f t="shared" si="7"/>
        <v>66.166666666666671</v>
      </c>
      <c r="J14" s="3">
        <f t="shared" si="8"/>
        <v>99.166666666666671</v>
      </c>
      <c r="K14" s="3">
        <f t="shared" si="9"/>
        <v>67.3</v>
      </c>
      <c r="L14" s="3">
        <f t="shared" si="10"/>
        <v>61.998120549356081</v>
      </c>
      <c r="M14" s="3">
        <f t="shared" si="11"/>
        <v>58.685359351093133</v>
      </c>
      <c r="N14" s="3">
        <f t="shared" si="12"/>
        <v>37.815089488074776</v>
      </c>
      <c r="O14" s="3">
        <f t="shared" si="13"/>
        <v>47.042403760155359</v>
      </c>
      <c r="P14" s="3">
        <f t="shared" si="14"/>
        <v>124.46229863257524</v>
      </c>
      <c r="Q14" s="3">
        <f t="shared" si="15"/>
        <v>50.937076288783153</v>
      </c>
      <c r="R14" s="3">
        <f t="shared" si="16"/>
        <v>42.932167176036629</v>
      </c>
      <c r="S14" s="3">
        <f t="shared" si="17"/>
        <v>58.076191667072735</v>
      </c>
      <c r="T14" s="3">
        <f t="shared" si="18"/>
        <v>44.749648081418989</v>
      </c>
    </row>
    <row r="15" spans="1:20" x14ac:dyDescent="0.2">
      <c r="A15" s="11">
        <v>1.3</v>
      </c>
      <c r="B15" s="3">
        <f t="shared" si="0"/>
        <v>63.999999999999993</v>
      </c>
      <c r="C15" s="3">
        <f t="shared" si="1"/>
        <v>57.487692307692299</v>
      </c>
      <c r="D15" s="3">
        <f t="shared" si="2"/>
        <v>68.07946358699418</v>
      </c>
      <c r="E15" s="3">
        <f t="shared" si="3"/>
        <v>55.464049079161917</v>
      </c>
      <c r="F15" s="3">
        <f t="shared" si="4"/>
        <v>65.624401006807446</v>
      </c>
      <c r="G15" s="3">
        <f t="shared" si="5"/>
        <v>52.081413549529302</v>
      </c>
      <c r="H15" s="3">
        <f t="shared" si="6"/>
        <v>52.682423168418758</v>
      </c>
      <c r="I15" s="3">
        <f t="shared" si="7"/>
        <v>58.538461538461533</v>
      </c>
      <c r="J15" s="3">
        <f t="shared" si="8"/>
        <v>91.538461538461533</v>
      </c>
      <c r="K15" s="3">
        <f t="shared" si="9"/>
        <v>61.876923076923063</v>
      </c>
      <c r="L15" s="3">
        <f t="shared" si="10"/>
        <v>56.500784892821898</v>
      </c>
      <c r="M15" s="3">
        <f t="shared" si="11"/>
        <v>52.744878135843216</v>
      </c>
      <c r="N15" s="3">
        <f t="shared" si="12"/>
        <v>37.878798844350406</v>
      </c>
      <c r="O15" s="3">
        <f t="shared" si="13"/>
        <v>44.711121922537473</v>
      </c>
      <c r="P15" s="3">
        <f t="shared" si="14"/>
        <v>119.00659735340365</v>
      </c>
      <c r="Q15" s="3">
        <f t="shared" si="15"/>
        <v>45.800470176001653</v>
      </c>
      <c r="R15" s="3">
        <f t="shared" si="16"/>
        <v>40.556781037703189</v>
      </c>
      <c r="S15" s="3">
        <f t="shared" si="17"/>
        <v>52.739480003324516</v>
      </c>
      <c r="T15" s="3">
        <f t="shared" si="18"/>
        <v>42.617183006408268</v>
      </c>
    </row>
    <row r="16" spans="1:20" x14ac:dyDescent="0.2">
      <c r="A16" s="11">
        <v>1.4</v>
      </c>
      <c r="B16" s="3">
        <f t="shared" si="0"/>
        <v>59.714285714285715</v>
      </c>
      <c r="C16" s="3">
        <f t="shared" si="1"/>
        <v>53.072857142857146</v>
      </c>
      <c r="D16" s="3">
        <f t="shared" si="2"/>
        <v>62.601258428713791</v>
      </c>
      <c r="E16" s="3">
        <f t="shared" si="3"/>
        <v>50.510869627720481</v>
      </c>
      <c r="F16" s="3">
        <f t="shared" si="4"/>
        <v>58.357203117356278</v>
      </c>
      <c r="G16" s="3">
        <f t="shared" si="5"/>
        <v>45.87228780089886</v>
      </c>
      <c r="H16" s="3">
        <f t="shared" si="6"/>
        <v>46.49458399797421</v>
      </c>
      <c r="I16" s="3">
        <f t="shared" si="7"/>
        <v>52</v>
      </c>
      <c r="J16" s="3">
        <f t="shared" si="8"/>
        <v>85</v>
      </c>
      <c r="K16" s="3">
        <f t="shared" si="9"/>
        <v>57.228571428571428</v>
      </c>
      <c r="L16" s="3">
        <f t="shared" si="10"/>
        <v>51.846596034302856</v>
      </c>
      <c r="M16" s="3">
        <f t="shared" si="11"/>
        <v>47.782336463536886</v>
      </c>
      <c r="N16" s="3">
        <f t="shared" si="12"/>
        <v>37.936005271669089</v>
      </c>
      <c r="O16" s="3">
        <f t="shared" si="13"/>
        <v>42.655819861602318</v>
      </c>
      <c r="P16" s="3">
        <f t="shared" si="14"/>
        <v>114.1688470515185</v>
      </c>
      <c r="Q16" s="3">
        <f t="shared" si="15"/>
        <v>41.507700734867257</v>
      </c>
      <c r="R16" s="3">
        <f t="shared" si="16"/>
        <v>38.474851272647378</v>
      </c>
      <c r="S16" s="3">
        <f t="shared" si="17"/>
        <v>48.18944306596763</v>
      </c>
      <c r="T16" s="3">
        <f t="shared" si="18"/>
        <v>40.733533245836924</v>
      </c>
    </row>
    <row r="17" spans="1:20" x14ac:dyDescent="0.2">
      <c r="A17" s="11">
        <v>1.5</v>
      </c>
      <c r="B17" s="3">
        <f t="shared" si="0"/>
        <v>56</v>
      </c>
      <c r="C17" s="3">
        <f t="shared" si="1"/>
        <v>49.246666666666663</v>
      </c>
      <c r="D17" s="3">
        <f t="shared" si="2"/>
        <v>57.898151021795286</v>
      </c>
      <c r="E17" s="3">
        <f t="shared" si="3"/>
        <v>46.298004073319667</v>
      </c>
      <c r="F17" s="3">
        <f t="shared" si="4"/>
        <v>52.316865086436252</v>
      </c>
      <c r="G17" s="3">
        <f t="shared" si="5"/>
        <v>40.758988590200538</v>
      </c>
      <c r="H17" s="3">
        <f t="shared" si="6"/>
        <v>41.38894645414954</v>
      </c>
      <c r="I17" s="3">
        <f t="shared" si="7"/>
        <v>46.333333333333329</v>
      </c>
      <c r="J17" s="3">
        <f t="shared" si="8"/>
        <v>79.333333333333329</v>
      </c>
      <c r="K17" s="3">
        <f t="shared" si="9"/>
        <v>53.199999999999996</v>
      </c>
      <c r="L17" s="3">
        <f t="shared" si="10"/>
        <v>47.858921671828192</v>
      </c>
      <c r="M17" s="3">
        <f t="shared" si="11"/>
        <v>43.582929385693944</v>
      </c>
      <c r="N17" s="3">
        <f t="shared" si="12"/>
        <v>37.987767941841042</v>
      </c>
      <c r="O17" s="3">
        <f t="shared" si="13"/>
        <v>40.82739276977199</v>
      </c>
      <c r="P17" s="3">
        <f t="shared" si="14"/>
        <v>109.84194392387755</v>
      </c>
      <c r="Q17" s="3">
        <f t="shared" si="15"/>
        <v>37.87368094029511</v>
      </c>
      <c r="R17" s="3">
        <f t="shared" si="16"/>
        <v>36.632798875340391</v>
      </c>
      <c r="S17" s="3">
        <f t="shared" si="17"/>
        <v>44.265515136178756</v>
      </c>
      <c r="T17" s="3">
        <f t="shared" si="18"/>
        <v>39.054808834977294</v>
      </c>
    </row>
    <row r="18" spans="1:20" x14ac:dyDescent="0.2">
      <c r="A18" s="11">
        <v>1.6</v>
      </c>
      <c r="B18" s="3">
        <f t="shared" si="0"/>
        <v>52.75</v>
      </c>
      <c r="C18" s="3">
        <f t="shared" si="1"/>
        <v>45.898749999999993</v>
      </c>
      <c r="D18" s="3">
        <f t="shared" si="2"/>
        <v>53.819068860128866</v>
      </c>
      <c r="E18" s="3">
        <f t="shared" si="3"/>
        <v>42.675794090256559</v>
      </c>
      <c r="F18" s="3">
        <f t="shared" si="4"/>
        <v>47.233771345508863</v>
      </c>
      <c r="G18" s="3">
        <f t="shared" si="5"/>
        <v>36.493052775508815</v>
      </c>
      <c r="H18" s="3">
        <f t="shared" si="6"/>
        <v>37.121707439184647</v>
      </c>
      <c r="I18" s="3">
        <f t="shared" si="7"/>
        <v>41.375</v>
      </c>
      <c r="J18" s="3">
        <f t="shared" si="8"/>
        <v>74.375</v>
      </c>
      <c r="K18" s="3">
        <f t="shared" si="9"/>
        <v>49.67499999999999</v>
      </c>
      <c r="L18" s="3">
        <f t="shared" si="10"/>
        <v>44.406811366228631</v>
      </c>
      <c r="M18" s="3">
        <f t="shared" si="11"/>
        <v>39.98939061548456</v>
      </c>
      <c r="N18" s="3">
        <f t="shared" si="12"/>
        <v>38.034917181748149</v>
      </c>
      <c r="O18" s="3">
        <f t="shared" si="13"/>
        <v>39.188027789747231</v>
      </c>
      <c r="P18" s="3">
        <f t="shared" si="14"/>
        <v>105.94296542151424</v>
      </c>
      <c r="Q18" s="3">
        <f t="shared" si="15"/>
        <v>34.762849744957322</v>
      </c>
      <c r="R18" s="3">
        <f t="shared" si="16"/>
        <v>34.989591825988342</v>
      </c>
      <c r="S18" s="3">
        <f t="shared" si="17"/>
        <v>40.84787118043176</v>
      </c>
      <c r="T18" s="3">
        <f t="shared" si="18"/>
        <v>37.547151496775882</v>
      </c>
    </row>
    <row r="19" spans="1:20" x14ac:dyDescent="0.2">
      <c r="A19" s="11">
        <v>1.7</v>
      </c>
      <c r="B19" s="3">
        <f t="shared" si="0"/>
        <v>49.882352941176471</v>
      </c>
      <c r="C19" s="3">
        <f t="shared" si="1"/>
        <v>42.944705882352942</v>
      </c>
      <c r="D19" s="3">
        <f t="shared" si="2"/>
        <v>50.249508824366522</v>
      </c>
      <c r="E19" s="3">
        <f t="shared" si="3"/>
        <v>39.531800195126955</v>
      </c>
      <c r="F19" s="3">
        <f t="shared" si="4"/>
        <v>42.909700436955092</v>
      </c>
      <c r="G19" s="3">
        <f t="shared" si="5"/>
        <v>32.893396731685733</v>
      </c>
      <c r="H19" s="3">
        <f t="shared" si="6"/>
        <v>33.514855634132218</v>
      </c>
      <c r="I19" s="3">
        <f t="shared" si="7"/>
        <v>37</v>
      </c>
      <c r="J19" s="3">
        <f t="shared" si="8"/>
        <v>70</v>
      </c>
      <c r="K19" s="3">
        <f t="shared" si="9"/>
        <v>46.564705882352939</v>
      </c>
      <c r="L19" s="3">
        <f t="shared" si="10"/>
        <v>41.39120031721361</v>
      </c>
      <c r="M19" s="3">
        <f t="shared" si="11"/>
        <v>36.884129188452143</v>
      </c>
      <c r="N19" s="3">
        <f t="shared" si="12"/>
        <v>38.078114646041499</v>
      </c>
      <c r="O19" s="3">
        <f t="shared" si="13"/>
        <v>37.708089678554735</v>
      </c>
      <c r="P19" s="3">
        <f t="shared" si="14"/>
        <v>102.40659338176341</v>
      </c>
      <c r="Q19" s="3">
        <f t="shared" si="15"/>
        <v>32.073809148549863</v>
      </c>
      <c r="R19" s="3">
        <f t="shared" si="16"/>
        <v>33.51323623509105</v>
      </c>
      <c r="S19" s="3">
        <f t="shared" si="17"/>
        <v>37.845305269043187</v>
      </c>
      <c r="T19" s="3">
        <f t="shared" si="18"/>
        <v>36.183980638251434</v>
      </c>
    </row>
    <row r="20" spans="1:20" x14ac:dyDescent="0.2">
      <c r="A20" s="11">
        <v>1.8</v>
      </c>
      <c r="B20" s="3">
        <f t="shared" si="0"/>
        <v>47.333333333333336</v>
      </c>
      <c r="C20" s="3">
        <f t="shared" si="1"/>
        <v>40.318888888888885</v>
      </c>
      <c r="D20" s="3">
        <f t="shared" si="2"/>
        <v>47.101151456600029</v>
      </c>
      <c r="E20" s="3">
        <f t="shared" si="3"/>
        <v>36.780004828412281</v>
      </c>
      <c r="F20" s="3">
        <f t="shared" si="4"/>
        <v>39.196056325199045</v>
      </c>
      <c r="G20" s="3">
        <f t="shared" si="5"/>
        <v>29.82537578220207</v>
      </c>
      <c r="H20" s="3">
        <f t="shared" si="6"/>
        <v>30.435804852665196</v>
      </c>
      <c r="I20" s="3">
        <f t="shared" si="7"/>
        <v>33.111111111111114</v>
      </c>
      <c r="J20" s="3">
        <f t="shared" si="8"/>
        <v>66.111111111111114</v>
      </c>
      <c r="K20" s="3">
        <f t="shared" si="9"/>
        <v>43.79999999999999</v>
      </c>
      <c r="L20" s="3">
        <f t="shared" si="10"/>
        <v>38.73581194741768</v>
      </c>
      <c r="M20" s="3">
        <f t="shared" si="11"/>
        <v>34.177588996763092</v>
      </c>
      <c r="N20" s="3">
        <f t="shared" si="12"/>
        <v>38.117895163400888</v>
      </c>
      <c r="O20" s="3">
        <f t="shared" si="13"/>
        <v>36.363992171556589</v>
      </c>
      <c r="P20" s="3">
        <f t="shared" si="14"/>
        <v>99.180595698190814</v>
      </c>
      <c r="Q20" s="3">
        <f t="shared" si="15"/>
        <v>29.729309443499055</v>
      </c>
      <c r="R20" s="3">
        <f t="shared" si="16"/>
        <v>32.178390481750959</v>
      </c>
      <c r="S20" s="3">
        <f t="shared" si="17"/>
        <v>35.187187548833187</v>
      </c>
      <c r="T20" s="3">
        <f t="shared" si="18"/>
        <v>34.944107785603514</v>
      </c>
    </row>
    <row r="21" spans="1:20" x14ac:dyDescent="0.2">
      <c r="A21" s="11">
        <v>1.9</v>
      </c>
      <c r="B21" s="3">
        <f t="shared" si="0"/>
        <v>45.052631578947363</v>
      </c>
      <c r="C21" s="3">
        <f t="shared" si="1"/>
        <v>37.969473684210527</v>
      </c>
      <c r="D21" s="3">
        <f t="shared" si="2"/>
        <v>44.304814619756904</v>
      </c>
      <c r="E21" s="3">
        <f t="shared" si="3"/>
        <v>34.353547795436327</v>
      </c>
      <c r="F21" s="3">
        <f t="shared" si="4"/>
        <v>35.979519703968442</v>
      </c>
      <c r="G21" s="3">
        <f t="shared" si="5"/>
        <v>27.187095142821931</v>
      </c>
      <c r="H21" s="3">
        <f t="shared" si="6"/>
        <v>27.784057125709644</v>
      </c>
      <c r="I21" s="3">
        <f t="shared" si="7"/>
        <v>29.631578947368425</v>
      </c>
      <c r="J21" s="3">
        <f t="shared" si="8"/>
        <v>62.631578947368425</v>
      </c>
      <c r="K21" s="3">
        <f t="shared" si="9"/>
        <v>41.326315789473682</v>
      </c>
      <c r="L21" s="3">
        <f t="shared" si="10"/>
        <v>36.380996669094159</v>
      </c>
      <c r="M21" s="3">
        <f t="shared" si="11"/>
        <v>31.800452155705315</v>
      </c>
      <c r="N21" s="3">
        <f t="shared" si="12"/>
        <v>38.154696519617886</v>
      </c>
      <c r="O21" s="3">
        <f t="shared" si="13"/>
        <v>35.136707209973871</v>
      </c>
      <c r="P21" s="3">
        <f t="shared" si="14"/>
        <v>96.222646768920313</v>
      </c>
      <c r="Q21" s="3">
        <f t="shared" si="15"/>
        <v>27.66953917371351</v>
      </c>
      <c r="R21" s="3">
        <f t="shared" si="16"/>
        <v>30.964702389797889</v>
      </c>
      <c r="S21" s="3">
        <f t="shared" si="17"/>
        <v>32.817985325473508</v>
      </c>
      <c r="T21" s="3">
        <f t="shared" si="18"/>
        <v>33.810413936569596</v>
      </c>
    </row>
    <row r="22" spans="1:20" x14ac:dyDescent="0.2">
      <c r="A22" s="11">
        <v>2</v>
      </c>
      <c r="B22" s="3">
        <f t="shared" si="0"/>
        <v>43</v>
      </c>
      <c r="C22" s="3">
        <f t="shared" si="1"/>
        <v>35.854999999999997</v>
      </c>
      <c r="D22" s="3">
        <f t="shared" si="2"/>
        <v>41.805559959085194</v>
      </c>
      <c r="E22" s="3">
        <f t="shared" si="3"/>
        <v>32.199720472663337</v>
      </c>
      <c r="F22" s="3">
        <f t="shared" si="4"/>
        <v>33.17234971932001</v>
      </c>
      <c r="G22" s="3">
        <f t="shared" si="5"/>
        <v>24.900229098060301</v>
      </c>
      <c r="H22" s="3">
        <f t="shared" si="6"/>
        <v>25.482243522649917</v>
      </c>
      <c r="I22" s="3">
        <f t="shared" si="7"/>
        <v>26.5</v>
      </c>
      <c r="J22" s="3">
        <f t="shared" si="8"/>
        <v>59.5</v>
      </c>
      <c r="K22" s="3">
        <f t="shared" si="9"/>
        <v>39.099999999999994</v>
      </c>
      <c r="L22" s="3">
        <f t="shared" si="10"/>
        <v>34.279460216541345</v>
      </c>
      <c r="M22" s="3">
        <f t="shared" si="11"/>
        <v>29.698289431010057</v>
      </c>
      <c r="N22" s="3">
        <f t="shared" si="12"/>
        <v>38.188881090795945</v>
      </c>
      <c r="O22" s="3">
        <f t="shared" si="13"/>
        <v>34.010698318096878</v>
      </c>
      <c r="P22" s="3">
        <f t="shared" si="14"/>
        <v>93.498042337405025</v>
      </c>
      <c r="Q22" s="3">
        <f t="shared" si="15"/>
        <v>25.84751964073487</v>
      </c>
      <c r="R22" s="3">
        <f t="shared" si="16"/>
        <v>29.855624917232834</v>
      </c>
      <c r="S22" s="3">
        <f t="shared" si="17"/>
        <v>30.693443660371685</v>
      </c>
      <c r="T22" s="3">
        <f t="shared" si="18"/>
        <v>32.768901809831071</v>
      </c>
    </row>
    <row r="23" spans="1:20" x14ac:dyDescent="0.2">
      <c r="A23" s="11">
        <v>2.1</v>
      </c>
      <c r="B23" s="3">
        <f t="shared" si="0"/>
        <v>41.142857142857139</v>
      </c>
      <c r="C23" s="3">
        <f t="shared" si="1"/>
        <v>33.941904761904759</v>
      </c>
      <c r="D23" s="3">
        <f t="shared" si="2"/>
        <v>39.55922350282173</v>
      </c>
      <c r="E23" s="3">
        <f t="shared" si="3"/>
        <v>30.276442876373924</v>
      </c>
      <c r="F23" s="3">
        <f t="shared" si="4"/>
        <v>30.705681608292117</v>
      </c>
      <c r="G23" s="3">
        <f t="shared" si="5"/>
        <v>22.903722522826531</v>
      </c>
      <c r="H23" s="3">
        <f t="shared" si="6"/>
        <v>23.469968327600043</v>
      </c>
      <c r="I23" s="3">
        <f t="shared" si="7"/>
        <v>23.666666666666664</v>
      </c>
      <c r="J23" s="3">
        <f t="shared" si="8"/>
        <v>56.666666666666664</v>
      </c>
      <c r="K23" s="3">
        <f t="shared" si="9"/>
        <v>37.085714285714282</v>
      </c>
      <c r="L23" s="3">
        <f t="shared" si="10"/>
        <v>32.393239928937575</v>
      </c>
      <c r="M23" s="3">
        <f t="shared" si="11"/>
        <v>27.827810462668499</v>
      </c>
      <c r="N23" s="3">
        <f t="shared" si="12"/>
        <v>38.220751842711621</v>
      </c>
      <c r="O23" s="3">
        <f t="shared" si="13"/>
        <v>32.973142856965097</v>
      </c>
      <c r="P23" s="3">
        <f t="shared" si="14"/>
        <v>90.978026158530326</v>
      </c>
      <c r="Q23" s="3">
        <f t="shared" si="15"/>
        <v>24.225875714558036</v>
      </c>
      <c r="R23" s="3">
        <f t="shared" si="16"/>
        <v>28.837556299035032</v>
      </c>
      <c r="S23" s="3">
        <f t="shared" si="17"/>
        <v>28.777867845295177</v>
      </c>
      <c r="T23" s="3">
        <f t="shared" si="18"/>
        <v>31.808003800191102</v>
      </c>
    </row>
    <row r="24" spans="1:20" x14ac:dyDescent="0.2">
      <c r="A24" s="11">
        <v>2.2000000000000002</v>
      </c>
      <c r="B24" s="3">
        <f t="shared" si="0"/>
        <v>39.454545454545453</v>
      </c>
      <c r="C24" s="3">
        <f t="shared" si="1"/>
        <v>32.202727272727266</v>
      </c>
      <c r="D24" s="3">
        <f t="shared" si="2"/>
        <v>37.529910204892467</v>
      </c>
      <c r="E24" s="3">
        <f t="shared" si="3"/>
        <v>28.549737211891514</v>
      </c>
      <c r="F24" s="3">
        <f t="shared" si="4"/>
        <v>28.524802083823502</v>
      </c>
      <c r="G24" s="3">
        <f t="shared" si="5"/>
        <v>21.14938159692699</v>
      </c>
      <c r="H24" s="3">
        <f t="shared" si="6"/>
        <v>21.699493386228738</v>
      </c>
      <c r="I24" s="3">
        <f t="shared" si="7"/>
        <v>21.090909090909086</v>
      </c>
      <c r="J24" s="3">
        <f t="shared" si="8"/>
        <v>54.090909090909086</v>
      </c>
      <c r="K24" s="3">
        <f t="shared" si="9"/>
        <v>35.254545454545443</v>
      </c>
      <c r="L24" s="3">
        <f t="shared" si="10"/>
        <v>30.691524412992695</v>
      </c>
      <c r="M24" s="3">
        <f t="shared" si="11"/>
        <v>26.154184831261571</v>
      </c>
      <c r="N24" s="3">
        <f t="shared" si="12"/>
        <v>38.250564355456497</v>
      </c>
      <c r="O24" s="3">
        <f t="shared" si="13"/>
        <v>32.013355252106294</v>
      </c>
      <c r="P24" s="3">
        <f t="shared" si="14"/>
        <v>88.638544083841325</v>
      </c>
      <c r="Q24" s="3">
        <f t="shared" si="15"/>
        <v>22.774528162050228</v>
      </c>
      <c r="R24" s="3">
        <f t="shared" si="16"/>
        <v>27.899204968414651</v>
      </c>
      <c r="S24" s="3">
        <f t="shared" si="17"/>
        <v>27.042154296416655</v>
      </c>
      <c r="T24" s="3">
        <f t="shared" si="18"/>
        <v>30.91806807642612</v>
      </c>
    </row>
    <row r="25" spans="1:20" x14ac:dyDescent="0.2">
      <c r="A25" s="11">
        <v>2.2999999999999998</v>
      </c>
      <c r="B25" s="3">
        <f t="shared" si="0"/>
        <v>37.913043478260875</v>
      </c>
      <c r="C25" s="3">
        <f t="shared" si="1"/>
        <v>30.614782608695656</v>
      </c>
      <c r="D25" s="3">
        <f t="shared" si="2"/>
        <v>35.688154438934227</v>
      </c>
      <c r="E25" s="3">
        <f t="shared" si="3"/>
        <v>26.991885172921666</v>
      </c>
      <c r="F25" s="3">
        <f t="shared" si="4"/>
        <v>26.585759120080546</v>
      </c>
      <c r="G25" s="3">
        <f t="shared" si="5"/>
        <v>19.59873056143001</v>
      </c>
      <c r="H25" s="3">
        <f t="shared" si="6"/>
        <v>20.132657389155003</v>
      </c>
      <c r="I25" s="3">
        <f t="shared" si="7"/>
        <v>18.739130434782609</v>
      </c>
      <c r="J25" s="3">
        <f t="shared" si="8"/>
        <v>51.739130434782609</v>
      </c>
      <c r="K25" s="3">
        <f t="shared" si="9"/>
        <v>33.582608695652169</v>
      </c>
      <c r="L25" s="3">
        <f t="shared" si="10"/>
        <v>29.149055011533896</v>
      </c>
      <c r="M25" s="3">
        <f t="shared" si="11"/>
        <v>24.649095170461422</v>
      </c>
      <c r="N25" s="3">
        <f t="shared" si="12"/>
        <v>38.278535992317416</v>
      </c>
      <c r="O25" s="3">
        <f t="shared" si="13"/>
        <v>31.122352724159427</v>
      </c>
      <c r="P25" s="3">
        <f t="shared" si="14"/>
        <v>86.459302403590783</v>
      </c>
      <c r="Q25" s="3">
        <f t="shared" si="15"/>
        <v>21.469016116496498</v>
      </c>
      <c r="R25" s="3">
        <f t="shared" si="16"/>
        <v>27.031113226797093</v>
      </c>
      <c r="S25" s="3">
        <f t="shared" si="17"/>
        <v>25.462340211181136</v>
      </c>
      <c r="T25" s="3">
        <f t="shared" si="18"/>
        <v>30.0909711583713</v>
      </c>
    </row>
    <row r="26" spans="1:20" x14ac:dyDescent="0.2">
      <c r="A26" s="11">
        <v>2.4</v>
      </c>
      <c r="B26" s="3">
        <f t="shared" si="0"/>
        <v>36.5</v>
      </c>
      <c r="C26" s="3">
        <f t="shared" si="1"/>
        <v>29.159166666666664</v>
      </c>
      <c r="D26" s="3">
        <f t="shared" si="2"/>
        <v>34.009549123936573</v>
      </c>
      <c r="E26" s="3">
        <f t="shared" si="3"/>
        <v>25.580063291336749</v>
      </c>
      <c r="F26" s="3">
        <f t="shared" si="4"/>
        <v>24.852889902509975</v>
      </c>
      <c r="G26" s="3">
        <f t="shared" si="5"/>
        <v>18.220734017210731</v>
      </c>
      <c r="H26" s="3">
        <f t="shared" si="6"/>
        <v>18.738640567298322</v>
      </c>
      <c r="I26" s="3">
        <f t="shared" si="7"/>
        <v>16.583333333333336</v>
      </c>
      <c r="J26" s="3">
        <f t="shared" si="8"/>
        <v>49.583333333333336</v>
      </c>
      <c r="K26" s="3">
        <f t="shared" si="9"/>
        <v>32.049999999999997</v>
      </c>
      <c r="L26" s="3">
        <f t="shared" si="10"/>
        <v>27.744936121044208</v>
      </c>
      <c r="M26" s="3">
        <f t="shared" si="11"/>
        <v>23.289300292264265</v>
      </c>
      <c r="N26" s="3">
        <f t="shared" si="12"/>
        <v>38.304852982928935</v>
      </c>
      <c r="O26" s="3">
        <f t="shared" si="13"/>
        <v>30.292523805344011</v>
      </c>
      <c r="P26" s="3">
        <f t="shared" si="14"/>
        <v>84.423046464518023</v>
      </c>
      <c r="Q26" s="3">
        <f t="shared" si="15"/>
        <v>20.289258679601136</v>
      </c>
      <c r="R26" s="3">
        <f t="shared" si="16"/>
        <v>26.225294985858078</v>
      </c>
      <c r="S26" s="3">
        <f t="shared" si="17"/>
        <v>24.018519424556928</v>
      </c>
      <c r="T26" s="3">
        <f t="shared" si="18"/>
        <v>29.319821835437253</v>
      </c>
    </row>
    <row r="27" spans="1:20" x14ac:dyDescent="0.2">
      <c r="A27" s="11">
        <v>2.5</v>
      </c>
      <c r="B27" s="3">
        <f t="shared" si="0"/>
        <v>35.200000000000003</v>
      </c>
      <c r="C27" s="3">
        <f t="shared" si="1"/>
        <v>27.82</v>
      </c>
      <c r="D27" s="3">
        <f t="shared" si="2"/>
        <v>32.473710164603602</v>
      </c>
      <c r="E27" s="3">
        <f t="shared" si="3"/>
        <v>24.295318238832131</v>
      </c>
      <c r="F27" s="3">
        <f t="shared" si="4"/>
        <v>23.296991846184643</v>
      </c>
      <c r="G27" s="3">
        <f t="shared" si="5"/>
        <v>16.990121734951067</v>
      </c>
      <c r="H27" s="3">
        <f t="shared" si="6"/>
        <v>17.492318638937459</v>
      </c>
      <c r="I27" s="3">
        <f t="shared" si="7"/>
        <v>14.600000000000001</v>
      </c>
      <c r="J27" s="3">
        <f t="shared" si="8"/>
        <v>47.6</v>
      </c>
      <c r="K27" s="3">
        <f t="shared" si="9"/>
        <v>30.639999999999997</v>
      </c>
      <c r="L27" s="3">
        <f t="shared" si="10"/>
        <v>26.461737661062731</v>
      </c>
      <c r="M27" s="3">
        <f t="shared" si="11"/>
        <v>22.055559776060264</v>
      </c>
      <c r="N27" s="3">
        <f t="shared" si="12"/>
        <v>38.329675960336445</v>
      </c>
      <c r="O27" s="3">
        <f t="shared" si="13"/>
        <v>29.517372149747032</v>
      </c>
      <c r="P27" s="3">
        <f t="shared" si="14"/>
        <v>82.515001219249754</v>
      </c>
      <c r="Q27" s="3">
        <f t="shared" si="15"/>
        <v>19.218627830564674</v>
      </c>
      <c r="R27" s="3">
        <f t="shared" si="16"/>
        <v>25.474956770900146</v>
      </c>
      <c r="S27" s="3">
        <f t="shared" si="17"/>
        <v>22.694021069816674</v>
      </c>
      <c r="T27" s="3">
        <f t="shared" si="18"/>
        <v>28.598732074643664</v>
      </c>
    </row>
    <row r="28" spans="1:20" x14ac:dyDescent="0.2">
      <c r="A28" s="11">
        <v>2.6</v>
      </c>
      <c r="B28" s="3">
        <f t="shared" si="0"/>
        <v>34</v>
      </c>
      <c r="C28" s="3">
        <f t="shared" si="1"/>
        <v>26.583846153846149</v>
      </c>
      <c r="D28" s="3">
        <f t="shared" si="2"/>
        <v>31.063484474020736</v>
      </c>
      <c r="E28" s="3">
        <f t="shared" si="3"/>
        <v>23.121787631163834</v>
      </c>
      <c r="F28" s="3">
        <f t="shared" si="4"/>
        <v>21.893951325743863</v>
      </c>
      <c r="G28" s="3">
        <f t="shared" si="5"/>
        <v>15.886139811869846</v>
      </c>
      <c r="H28" s="3">
        <f t="shared" si="6"/>
        <v>16.373034229719252</v>
      </c>
      <c r="I28" s="3">
        <f t="shared" si="7"/>
        <v>12.769230769230766</v>
      </c>
      <c r="J28" s="3">
        <f t="shared" si="8"/>
        <v>45.769230769230766</v>
      </c>
      <c r="K28" s="3">
        <f t="shared" si="9"/>
        <v>29.338461538461534</v>
      </c>
      <c r="L28" s="3">
        <f t="shared" si="10"/>
        <v>25.284809503092024</v>
      </c>
      <c r="M28" s="3">
        <f t="shared" si="11"/>
        <v>20.931818759693005</v>
      </c>
      <c r="N28" s="3">
        <f t="shared" si="12"/>
        <v>38.353144336429686</v>
      </c>
      <c r="O28" s="3">
        <f t="shared" si="13"/>
        <v>28.79131627940502</v>
      </c>
      <c r="P28" s="3">
        <f t="shared" si="14"/>
        <v>80.722432482225017</v>
      </c>
      <c r="Q28" s="3">
        <f t="shared" si="15"/>
        <v>18.243245485467451</v>
      </c>
      <c r="R28" s="3">
        <f t="shared" si="16"/>
        <v>24.774280367199736</v>
      </c>
      <c r="S28" s="3">
        <f t="shared" si="17"/>
        <v>21.474779691720165</v>
      </c>
      <c r="T28" s="3">
        <f t="shared" si="18"/>
        <v>27.922637751311068</v>
      </c>
    </row>
    <row r="29" spans="1:20" x14ac:dyDescent="0.2">
      <c r="A29" s="11">
        <v>2.7</v>
      </c>
      <c r="B29" s="3">
        <f t="shared" si="0"/>
        <v>32.888888888888886</v>
      </c>
      <c r="C29" s="3">
        <f t="shared" si="1"/>
        <v>25.439259259259256</v>
      </c>
      <c r="D29" s="3">
        <f t="shared" si="2"/>
        <v>29.764337402796542</v>
      </c>
      <c r="E29" s="3">
        <f t="shared" si="3"/>
        <v>22.04610063908013</v>
      </c>
      <c r="F29" s="3">
        <f t="shared" si="4"/>
        <v>20.623703014037968</v>
      </c>
      <c r="G29" s="3">
        <f t="shared" si="5"/>
        <v>14.891608066716067</v>
      </c>
      <c r="H29" s="3">
        <f t="shared" si="6"/>
        <v>15.363668507028505</v>
      </c>
      <c r="I29" s="3">
        <f t="shared" si="7"/>
        <v>11.074074074074069</v>
      </c>
      <c r="J29" s="3">
        <f t="shared" si="8"/>
        <v>44.074074074074069</v>
      </c>
      <c r="K29" s="3">
        <f t="shared" si="9"/>
        <v>28.133333333333329</v>
      </c>
      <c r="L29" s="3">
        <f t="shared" si="10"/>
        <v>24.201751826189682</v>
      </c>
      <c r="M29" s="3">
        <f t="shared" si="11"/>
        <v>19.904582719572343</v>
      </c>
      <c r="N29" s="3">
        <f t="shared" si="12"/>
        <v>38.375379793792064</v>
      </c>
      <c r="O29" s="3">
        <f t="shared" si="13"/>
        <v>28.109531421798717</v>
      </c>
      <c r="P29" s="3">
        <f t="shared" si="14"/>
        <v>79.034299310887263</v>
      </c>
      <c r="Q29" s="3">
        <f t="shared" si="15"/>
        <v>17.351444259904461</v>
      </c>
      <c r="R29" s="3">
        <f t="shared" si="16"/>
        <v>24.118251700417193</v>
      </c>
      <c r="S29" s="3">
        <f t="shared" si="17"/>
        <v>20.348846754671861</v>
      </c>
      <c r="T29" s="3">
        <f t="shared" si="18"/>
        <v>27.287156911495337</v>
      </c>
    </row>
    <row r="30" spans="1:20" x14ac:dyDescent="0.2">
      <c r="A30" s="11">
        <v>2.8</v>
      </c>
      <c r="B30" s="3">
        <f t="shared" si="0"/>
        <v>31.857142857142858</v>
      </c>
      <c r="C30" s="3">
        <f t="shared" si="1"/>
        <v>24.376428571428573</v>
      </c>
      <c r="D30" s="3">
        <f t="shared" si="2"/>
        <v>28.563873990717049</v>
      </c>
      <c r="E30" s="3">
        <f t="shared" si="3"/>
        <v>21.056911999530556</v>
      </c>
      <c r="F30" s="3">
        <f t="shared" si="4"/>
        <v>19.469431262700738</v>
      </c>
      <c r="G30" s="3">
        <f t="shared" si="5"/>
        <v>13.992200438307751</v>
      </c>
      <c r="H30" s="3">
        <f t="shared" si="6"/>
        <v>14.449931675727012</v>
      </c>
      <c r="I30" s="3">
        <f t="shared" si="7"/>
        <v>9.5</v>
      </c>
      <c r="J30" s="3">
        <f t="shared" si="8"/>
        <v>42.5</v>
      </c>
      <c r="K30" s="3">
        <f t="shared" si="9"/>
        <v>27.014285714285716</v>
      </c>
      <c r="L30" s="3">
        <f t="shared" si="10"/>
        <v>23.202001646487929</v>
      </c>
      <c r="M30" s="3">
        <f t="shared" si="11"/>
        <v>18.962432791929228</v>
      </c>
      <c r="N30" s="3">
        <f t="shared" si="12"/>
        <v>38.396489097827967</v>
      </c>
      <c r="O30" s="3">
        <f t="shared" si="13"/>
        <v>27.467823395718987</v>
      </c>
      <c r="P30" s="3">
        <f t="shared" si="14"/>
        <v>77.440975984900689</v>
      </c>
      <c r="Q30" s="3">
        <f t="shared" si="15"/>
        <v>16.533349355008898</v>
      </c>
      <c r="R30" s="3">
        <f t="shared" si="16"/>
        <v>23.502524809075894</v>
      </c>
      <c r="S30" s="3">
        <f t="shared" si="17"/>
        <v>19.306007895025306</v>
      </c>
      <c r="T30" s="3">
        <f t="shared" si="18"/>
        <v>26.688476640595027</v>
      </c>
    </row>
    <row r="31" spans="1:20" x14ac:dyDescent="0.2">
      <c r="A31" s="11">
        <v>2.9</v>
      </c>
      <c r="B31" s="3">
        <f t="shared" si="0"/>
        <v>30.896551724137932</v>
      </c>
      <c r="C31" s="3">
        <f t="shared" si="1"/>
        <v>23.386896551724135</v>
      </c>
      <c r="D31" s="3">
        <f t="shared" si="2"/>
        <v>27.451461208520829</v>
      </c>
      <c r="E31" s="3">
        <f t="shared" si="3"/>
        <v>20.144536179032496</v>
      </c>
      <c r="F31" s="3">
        <f t="shared" si="4"/>
        <v>18.416950894884746</v>
      </c>
      <c r="G31" s="3">
        <f t="shared" si="5"/>
        <v>13.175889837366855</v>
      </c>
      <c r="H31" s="3">
        <f t="shared" si="6"/>
        <v>13.619815045751418</v>
      </c>
      <c r="I31" s="3">
        <f t="shared" si="7"/>
        <v>8.0344827586206904</v>
      </c>
      <c r="J31" s="3">
        <f t="shared" si="8"/>
        <v>41.03448275862069</v>
      </c>
      <c r="K31" s="3">
        <f t="shared" si="9"/>
        <v>25.972413793103449</v>
      </c>
      <c r="L31" s="3">
        <f t="shared" si="10"/>
        <v>22.27650692082748</v>
      </c>
      <c r="M31" s="3">
        <f t="shared" si="11"/>
        <v>18.095646310213731</v>
      </c>
      <c r="N31" s="3">
        <f t="shared" si="12"/>
        <v>38.416566380534718</v>
      </c>
      <c r="O31" s="3">
        <f t="shared" si="13"/>
        <v>26.862527164275576</v>
      </c>
      <c r="P31" s="3">
        <f t="shared" si="14"/>
        <v>75.934027713463095</v>
      </c>
      <c r="Q31" s="3">
        <f t="shared" si="15"/>
        <v>15.78055114171778</v>
      </c>
      <c r="R31" s="3">
        <f t="shared" si="16"/>
        <v>22.923312745476096</v>
      </c>
      <c r="S31" s="3">
        <f t="shared" si="17"/>
        <v>18.337480173737902</v>
      </c>
      <c r="T31" s="3">
        <f t="shared" si="18"/>
        <v>26.123261971533278</v>
      </c>
    </row>
    <row r="32" spans="1:20" ht="13.5" thickBot="1" x14ac:dyDescent="0.25">
      <c r="A32" s="13">
        <v>3</v>
      </c>
      <c r="B32" s="3">
        <f t="shared" si="0"/>
        <v>30</v>
      </c>
      <c r="C32" s="8">
        <f t="shared" si="1"/>
        <v>22.463333333333331</v>
      </c>
      <c r="D32" s="8">
        <f t="shared" si="2"/>
        <v>26.417927236483592</v>
      </c>
      <c r="E32" s="8">
        <f t="shared" si="3"/>
        <v>19.300657555711059</v>
      </c>
      <c r="F32" s="8">
        <f t="shared" si="4"/>
        <v>17.454222517004389</v>
      </c>
      <c r="G32" s="8">
        <f t="shared" si="5"/>
        <v>12.432515694270847</v>
      </c>
      <c r="H32" s="8">
        <f t="shared" si="6"/>
        <v>12.863163770189722</v>
      </c>
      <c r="I32" s="8">
        <f t="shared" si="7"/>
        <v>6.6666666666666643</v>
      </c>
      <c r="J32" s="8">
        <f t="shared" si="8"/>
        <v>39.666666666666664</v>
      </c>
      <c r="K32" s="8">
        <f t="shared" si="9"/>
        <v>25</v>
      </c>
      <c r="L32" s="8">
        <f t="shared" si="10"/>
        <v>21.417467381932152</v>
      </c>
      <c r="M32" s="8">
        <f t="shared" si="11"/>
        <v>17.295896988676581</v>
      </c>
      <c r="N32" s="8">
        <f t="shared" si="12"/>
        <v>38.435695009619295</v>
      </c>
      <c r="O32" s="8">
        <f t="shared" si="13"/>
        <v>26.290424564485804</v>
      </c>
      <c r="P32" s="8">
        <f t="shared" si="14"/>
        <v>74.506028231198385</v>
      </c>
      <c r="Q32" s="8">
        <f t="shared" si="15"/>
        <v>15.085846415483063</v>
      </c>
      <c r="R32" s="8">
        <f t="shared" si="16"/>
        <v>22.37729935048905</v>
      </c>
      <c r="S32" s="8">
        <f t="shared" si="17"/>
        <v>17.435670501383644</v>
      </c>
      <c r="T32" s="8">
        <f t="shared" si="18"/>
        <v>25.588581943151787</v>
      </c>
    </row>
    <row r="34" spans="1:8" x14ac:dyDescent="0.2">
      <c r="A34" t="s">
        <v>11</v>
      </c>
      <c r="B34" s="2">
        <v>70</v>
      </c>
    </row>
    <row r="35" spans="1:8" x14ac:dyDescent="0.2">
      <c r="A35" t="s">
        <v>0</v>
      </c>
      <c r="B35" s="50" t="s">
        <v>12</v>
      </c>
      <c r="D35" s="52" t="s">
        <v>140</v>
      </c>
    </row>
    <row r="36" spans="1:8" x14ac:dyDescent="0.2">
      <c r="A36" t="s">
        <v>8</v>
      </c>
      <c r="B36" s="2">
        <v>75</v>
      </c>
      <c r="C36" t="s">
        <v>87</v>
      </c>
      <c r="D36" s="52" t="s">
        <v>141</v>
      </c>
    </row>
    <row r="37" spans="1:8" x14ac:dyDescent="0.2">
      <c r="A37" t="s">
        <v>86</v>
      </c>
      <c r="B37" s="2">
        <v>140</v>
      </c>
      <c r="C37" t="s">
        <v>88</v>
      </c>
      <c r="D37" s="52" t="s">
        <v>142</v>
      </c>
    </row>
    <row r="38" spans="1:8" x14ac:dyDescent="0.2">
      <c r="A38" s="42" t="s">
        <v>89</v>
      </c>
      <c r="B38" s="2">
        <v>135</v>
      </c>
      <c r="C38" s="52" t="s">
        <v>110</v>
      </c>
      <c r="D38" s="52" t="s">
        <v>145</v>
      </c>
    </row>
    <row r="39" spans="1:8" ht="22.5" x14ac:dyDescent="0.2">
      <c r="A39" s="94" t="s">
        <v>146</v>
      </c>
      <c r="B39" s="95">
        <f>B38*A41</f>
        <v>1.52685</v>
      </c>
      <c r="C39" s="52" t="s">
        <v>108</v>
      </c>
    </row>
    <row r="40" spans="1:8" x14ac:dyDescent="0.2">
      <c r="A40">
        <v>88.4</v>
      </c>
      <c r="B40" s="52" t="s">
        <v>137</v>
      </c>
      <c r="C40" s="1"/>
      <c r="D40" s="38" t="s">
        <v>66</v>
      </c>
      <c r="E40" s="38" t="s">
        <v>64</v>
      </c>
      <c r="F40" s="38" t="s">
        <v>65</v>
      </c>
      <c r="G40" s="38"/>
      <c r="H40" s="38" t="s">
        <v>66</v>
      </c>
    </row>
    <row r="41" spans="1:8" x14ac:dyDescent="0.2">
      <c r="A41">
        <v>1.1310000000000001E-2</v>
      </c>
      <c r="B41" s="52" t="s">
        <v>138</v>
      </c>
      <c r="D41" s="73">
        <v>1</v>
      </c>
      <c r="E41" s="74" t="s">
        <v>67</v>
      </c>
      <c r="F41" s="2" t="s">
        <v>72</v>
      </c>
      <c r="G41" s="2"/>
      <c r="H41" t="s">
        <v>73</v>
      </c>
    </row>
    <row r="42" spans="1:8" x14ac:dyDescent="0.2">
      <c r="A42" s="42" t="s">
        <v>94</v>
      </c>
      <c r="B42" s="2">
        <v>0</v>
      </c>
      <c r="C42" s="44" t="s">
        <v>95</v>
      </c>
      <c r="D42" s="77">
        <v>2</v>
      </c>
      <c r="E42" s="78" t="s">
        <v>68</v>
      </c>
      <c r="F42" s="2" t="s">
        <v>74</v>
      </c>
      <c r="G42" s="2"/>
      <c r="H42" t="s">
        <v>75</v>
      </c>
    </row>
    <row r="43" spans="1:8" x14ac:dyDescent="0.2">
      <c r="D43" s="75">
        <v>3</v>
      </c>
      <c r="E43" s="76" t="s">
        <v>69</v>
      </c>
      <c r="F43" s="2" t="s">
        <v>76</v>
      </c>
      <c r="G43" s="2"/>
      <c r="H43" t="s">
        <v>77</v>
      </c>
    </row>
    <row r="44" spans="1:8" x14ac:dyDescent="0.2">
      <c r="A44" s="52" t="s">
        <v>113</v>
      </c>
      <c r="B44" s="2">
        <v>3.8</v>
      </c>
      <c r="C44" s="52" t="s">
        <v>90</v>
      </c>
      <c r="D44" s="75">
        <v>4</v>
      </c>
      <c r="E44" s="76" t="s">
        <v>70</v>
      </c>
      <c r="F44" s="2" t="s">
        <v>78</v>
      </c>
      <c r="G44" s="2"/>
      <c r="H44" t="s">
        <v>79</v>
      </c>
    </row>
    <row r="45" spans="1:8" x14ac:dyDescent="0.2">
      <c r="A45" s="52" t="s">
        <v>102</v>
      </c>
      <c r="B45" s="2">
        <v>25</v>
      </c>
      <c r="C45" s="52" t="s">
        <v>103</v>
      </c>
      <c r="D45" s="75">
        <v>5</v>
      </c>
      <c r="E45" s="76" t="s">
        <v>71</v>
      </c>
      <c r="F45" s="2" t="s">
        <v>80</v>
      </c>
      <c r="G45" s="2"/>
      <c r="H45" t="s">
        <v>81</v>
      </c>
    </row>
    <row r="46" spans="1:8" x14ac:dyDescent="0.2">
      <c r="A46" s="52" t="s">
        <v>104</v>
      </c>
      <c r="B46" s="2" t="s">
        <v>107</v>
      </c>
    </row>
    <row r="47" spans="1:8" x14ac:dyDescent="0.2">
      <c r="A47" s="52" t="s">
        <v>113</v>
      </c>
      <c r="B47" s="2">
        <f>B44*6.01</f>
        <v>22.837999999999997</v>
      </c>
      <c r="C47" s="52" t="s">
        <v>108</v>
      </c>
    </row>
    <row r="48" spans="1:8" x14ac:dyDescent="0.2">
      <c r="A48" s="52" t="s">
        <v>112</v>
      </c>
      <c r="B48">
        <f>B44/2.14</f>
        <v>1.775700934579439</v>
      </c>
      <c r="C48" s="52" t="s">
        <v>90</v>
      </c>
    </row>
    <row r="49" spans="1:12" x14ac:dyDescent="0.2">
      <c r="A49" s="52" t="s">
        <v>112</v>
      </c>
      <c r="B49">
        <f>B47/2.14</f>
        <v>10.671962616822428</v>
      </c>
      <c r="C49" s="52" t="s">
        <v>108</v>
      </c>
      <c r="D49" s="50"/>
      <c r="E49" s="50"/>
      <c r="F49" s="52"/>
      <c r="G49" s="52"/>
      <c r="J49" s="52"/>
      <c r="L49" s="50"/>
    </row>
    <row r="50" spans="1:12" x14ac:dyDescent="0.2">
      <c r="D50" s="2"/>
      <c r="E50" s="2"/>
      <c r="F50" s="50"/>
      <c r="G50" s="2"/>
      <c r="K50" s="52"/>
      <c r="L50" s="2"/>
    </row>
    <row r="51" spans="1:12" x14ac:dyDescent="0.2">
      <c r="C51" s="52"/>
      <c r="K51" s="52"/>
      <c r="L51" s="2"/>
    </row>
    <row r="52" spans="1:12" x14ac:dyDescent="0.2">
      <c r="D52" s="52"/>
      <c r="E52" s="52"/>
      <c r="F52" s="52"/>
      <c r="L52" s="2"/>
    </row>
    <row r="53" spans="1:12" x14ac:dyDescent="0.2">
      <c r="J53" s="52"/>
      <c r="L53" s="50"/>
    </row>
    <row r="54" spans="1:12" x14ac:dyDescent="0.2">
      <c r="K54" s="52"/>
      <c r="L54" s="2"/>
    </row>
    <row r="55" spans="1:12" x14ac:dyDescent="0.2">
      <c r="C55" s="96"/>
      <c r="K55" s="52"/>
    </row>
    <row r="56" spans="1:12" x14ac:dyDescent="0.2">
      <c r="C56" s="96"/>
    </row>
    <row r="57" spans="1:12" x14ac:dyDescent="0.2">
      <c r="C57" s="96"/>
    </row>
    <row r="58" spans="1:12" x14ac:dyDescent="0.2">
      <c r="C58" s="96"/>
    </row>
    <row r="105" spans="1:8" x14ac:dyDescent="0.2">
      <c r="A105" s="2" t="s">
        <v>13</v>
      </c>
      <c r="B105" s="2" t="s">
        <v>14</v>
      </c>
      <c r="C105" s="50" t="s">
        <v>105</v>
      </c>
      <c r="D105" s="50" t="s">
        <v>114</v>
      </c>
      <c r="E105" s="50" t="s">
        <v>149</v>
      </c>
    </row>
    <row r="106" spans="1:8" x14ac:dyDescent="0.2">
      <c r="A106" s="2" t="s">
        <v>1</v>
      </c>
      <c r="B106" s="2">
        <v>0.3</v>
      </c>
      <c r="C106" s="50" t="s">
        <v>106</v>
      </c>
      <c r="D106" s="2">
        <v>0</v>
      </c>
      <c r="E106" s="52" t="s">
        <v>13</v>
      </c>
      <c r="F106" s="52" t="s">
        <v>157</v>
      </c>
      <c r="G106" s="52" t="s">
        <v>158</v>
      </c>
      <c r="H106" s="52" t="s">
        <v>159</v>
      </c>
    </row>
    <row r="107" spans="1:8" x14ac:dyDescent="0.2">
      <c r="A107" s="2" t="s">
        <v>12</v>
      </c>
      <c r="B107" s="2">
        <v>1</v>
      </c>
      <c r="C107" s="50" t="s">
        <v>107</v>
      </c>
      <c r="D107" s="2">
        <v>1</v>
      </c>
      <c r="E107" s="52" t="s">
        <v>150</v>
      </c>
      <c r="F107" t="str">
        <f>B46</f>
        <v>Nein</v>
      </c>
      <c r="G107" t="str">
        <f>B46</f>
        <v>Nein</v>
      </c>
    </row>
    <row r="108" spans="1:8" x14ac:dyDescent="0.2">
      <c r="B108" s="2">
        <v>2</v>
      </c>
      <c r="C108" s="2"/>
      <c r="E108" s="52" t="s">
        <v>151</v>
      </c>
      <c r="F108" s="2">
        <v>0.7</v>
      </c>
      <c r="G108" s="2">
        <v>0.9</v>
      </c>
      <c r="H108">
        <f>G108-F108</f>
        <v>0.20000000000000007</v>
      </c>
    </row>
    <row r="109" spans="1:8" x14ac:dyDescent="0.2">
      <c r="B109" s="2">
        <v>3</v>
      </c>
      <c r="C109" s="2"/>
      <c r="E109" s="52" t="s">
        <v>152</v>
      </c>
      <c r="F109" s="2">
        <v>0.8</v>
      </c>
      <c r="G109" s="2">
        <v>0.8</v>
      </c>
    </row>
    <row r="110" spans="1:8" x14ac:dyDescent="0.2">
      <c r="B110" s="2">
        <v>4</v>
      </c>
      <c r="C110" s="2"/>
      <c r="E110" s="52" t="s">
        <v>153</v>
      </c>
      <c r="F110">
        <v>-0.248</v>
      </c>
      <c r="G110">
        <v>-0.20699999999999999</v>
      </c>
      <c r="H110">
        <f>F110-G110</f>
        <v>-4.1000000000000009E-2</v>
      </c>
    </row>
    <row r="111" spans="1:8" x14ac:dyDescent="0.2">
      <c r="B111" s="2">
        <v>5</v>
      </c>
      <c r="C111" s="2"/>
      <c r="E111" s="52" t="s">
        <v>154</v>
      </c>
      <c r="F111">
        <f>-0.601-F110</f>
        <v>-0.35299999999999998</v>
      </c>
      <c r="G111">
        <f>-0.601-G110</f>
        <v>-0.39400000000000002</v>
      </c>
      <c r="H111">
        <f>F111-G111</f>
        <v>4.1000000000000036E-2</v>
      </c>
    </row>
    <row r="112" spans="1:8" x14ac:dyDescent="0.2">
      <c r="B112" s="2">
        <v>6</v>
      </c>
      <c r="C112" s="2"/>
      <c r="E112" s="52" t="s">
        <v>155</v>
      </c>
      <c r="F112">
        <v>-0.375</v>
      </c>
      <c r="G112">
        <v>-0.375</v>
      </c>
    </row>
    <row r="113" spans="2:7" x14ac:dyDescent="0.2">
      <c r="B113" s="2">
        <v>7</v>
      </c>
      <c r="C113" s="2"/>
      <c r="E113" s="52" t="s">
        <v>156</v>
      </c>
      <c r="F113">
        <f>-0.711-F112</f>
        <v>-0.33599999999999997</v>
      </c>
      <c r="G113">
        <f>-0.711-G112</f>
        <v>-0.33599999999999997</v>
      </c>
    </row>
    <row r="114" spans="2:7" x14ac:dyDescent="0.2">
      <c r="B114" s="2">
        <v>8</v>
      </c>
      <c r="C114" s="2"/>
    </row>
    <row r="115" spans="2:7" x14ac:dyDescent="0.2">
      <c r="B115" s="2">
        <v>9</v>
      </c>
      <c r="C115" s="2"/>
    </row>
    <row r="116" spans="2:7" x14ac:dyDescent="0.2">
      <c r="B116" s="2">
        <v>10</v>
      </c>
      <c r="C116" s="2"/>
    </row>
    <row r="117" spans="2:7" x14ac:dyDescent="0.2">
      <c r="B117" s="2">
        <v>11</v>
      </c>
      <c r="C117" s="2"/>
    </row>
    <row r="118" spans="2:7" x14ac:dyDescent="0.2">
      <c r="B118" s="2">
        <v>12</v>
      </c>
      <c r="C118" s="2"/>
    </row>
    <row r="119" spans="2:7" x14ac:dyDescent="0.2">
      <c r="B119" s="2">
        <v>13</v>
      </c>
      <c r="C119" s="2"/>
    </row>
    <row r="120" spans="2:7" x14ac:dyDescent="0.2">
      <c r="B120" s="2">
        <v>14</v>
      </c>
      <c r="C120" s="2"/>
    </row>
    <row r="121" spans="2:7" x14ac:dyDescent="0.2">
      <c r="B121" s="2">
        <v>15</v>
      </c>
      <c r="C121" s="2"/>
    </row>
    <row r="122" spans="2:7" x14ac:dyDescent="0.2">
      <c r="B122" s="2">
        <v>16</v>
      </c>
      <c r="C122" s="2"/>
    </row>
    <row r="123" spans="2:7" x14ac:dyDescent="0.2">
      <c r="B123" s="2">
        <v>17</v>
      </c>
      <c r="C123" s="2"/>
    </row>
    <row r="124" spans="2:7" x14ac:dyDescent="0.2">
      <c r="B124" s="2">
        <v>18</v>
      </c>
      <c r="C124" s="2"/>
    </row>
    <row r="125" spans="2:7" x14ac:dyDescent="0.2">
      <c r="B125" s="2">
        <v>19</v>
      </c>
      <c r="C125" s="2"/>
    </row>
    <row r="126" spans="2:7" x14ac:dyDescent="0.2">
      <c r="B126" s="2">
        <v>20</v>
      </c>
      <c r="C126" s="2"/>
    </row>
    <row r="127" spans="2:7" x14ac:dyDescent="0.2">
      <c r="B127" s="2">
        <v>21</v>
      </c>
      <c r="C127" s="2"/>
    </row>
    <row r="128" spans="2:7" x14ac:dyDescent="0.2">
      <c r="B128" s="2">
        <v>22</v>
      </c>
      <c r="C128" s="2"/>
    </row>
    <row r="129" spans="2:3" x14ac:dyDescent="0.2">
      <c r="B129" s="2">
        <v>23</v>
      </c>
      <c r="C129" s="2"/>
    </row>
    <row r="130" spans="2:3" x14ac:dyDescent="0.2">
      <c r="B130" s="2">
        <v>24</v>
      </c>
      <c r="C130" s="2"/>
    </row>
    <row r="131" spans="2:3" x14ac:dyDescent="0.2">
      <c r="B131" s="2">
        <v>25</v>
      </c>
      <c r="C131" s="2"/>
    </row>
    <row r="132" spans="2:3" x14ac:dyDescent="0.2">
      <c r="B132" s="2">
        <v>26</v>
      </c>
      <c r="C132" s="2"/>
    </row>
    <row r="133" spans="2:3" x14ac:dyDescent="0.2">
      <c r="B133" s="2">
        <v>27</v>
      </c>
      <c r="C133" s="2"/>
    </row>
    <row r="134" spans="2:3" x14ac:dyDescent="0.2">
      <c r="B134" s="2">
        <v>28</v>
      </c>
      <c r="C134" s="2"/>
    </row>
    <row r="135" spans="2:3" x14ac:dyDescent="0.2">
      <c r="B135" s="2">
        <v>29</v>
      </c>
      <c r="C135" s="2"/>
    </row>
    <row r="136" spans="2:3" x14ac:dyDescent="0.2">
      <c r="B136" s="2">
        <v>30</v>
      </c>
      <c r="C136" s="2"/>
    </row>
    <row r="137" spans="2:3" x14ac:dyDescent="0.2">
      <c r="B137" s="2">
        <v>31</v>
      </c>
      <c r="C137" s="2"/>
    </row>
    <row r="138" spans="2:3" x14ac:dyDescent="0.2">
      <c r="B138" s="2">
        <v>32</v>
      </c>
      <c r="C138" s="2"/>
    </row>
    <row r="139" spans="2:3" x14ac:dyDescent="0.2">
      <c r="B139" s="2">
        <v>33</v>
      </c>
      <c r="C139" s="2"/>
    </row>
    <row r="140" spans="2:3" x14ac:dyDescent="0.2">
      <c r="B140" s="2">
        <v>34</v>
      </c>
      <c r="C140" s="2"/>
    </row>
    <row r="141" spans="2:3" x14ac:dyDescent="0.2">
      <c r="B141" s="2">
        <v>35</v>
      </c>
      <c r="C141" s="2"/>
    </row>
    <row r="142" spans="2:3" x14ac:dyDescent="0.2">
      <c r="B142" s="2">
        <v>36</v>
      </c>
      <c r="C142" s="2"/>
    </row>
    <row r="143" spans="2:3" x14ac:dyDescent="0.2">
      <c r="B143" s="2">
        <v>37</v>
      </c>
      <c r="C143" s="2"/>
    </row>
    <row r="144" spans="2:3" x14ac:dyDescent="0.2">
      <c r="B144" s="2">
        <v>38</v>
      </c>
      <c r="C144" s="2"/>
    </row>
    <row r="145" spans="2:3" x14ac:dyDescent="0.2">
      <c r="B145" s="2">
        <v>39</v>
      </c>
      <c r="C145" s="2"/>
    </row>
    <row r="146" spans="2:3" x14ac:dyDescent="0.2">
      <c r="B146" s="2">
        <v>40</v>
      </c>
      <c r="C146" s="2"/>
    </row>
    <row r="147" spans="2:3" x14ac:dyDescent="0.2">
      <c r="B147" s="2">
        <v>41</v>
      </c>
      <c r="C147" s="2"/>
    </row>
    <row r="148" spans="2:3" x14ac:dyDescent="0.2">
      <c r="B148" s="2">
        <v>42</v>
      </c>
      <c r="C148" s="2"/>
    </row>
    <row r="149" spans="2:3" x14ac:dyDescent="0.2">
      <c r="B149" s="2">
        <v>43</v>
      </c>
      <c r="C149" s="2"/>
    </row>
    <row r="150" spans="2:3" x14ac:dyDescent="0.2">
      <c r="B150" s="2">
        <v>44</v>
      </c>
      <c r="C150" s="2"/>
    </row>
    <row r="151" spans="2:3" x14ac:dyDescent="0.2">
      <c r="B151" s="2">
        <v>45</v>
      </c>
      <c r="C151" s="2"/>
    </row>
    <row r="152" spans="2:3" x14ac:dyDescent="0.2">
      <c r="B152" s="2">
        <v>46</v>
      </c>
      <c r="C152" s="2"/>
    </row>
    <row r="153" spans="2:3" x14ac:dyDescent="0.2">
      <c r="B153" s="2">
        <v>47</v>
      </c>
      <c r="C153" s="2"/>
    </row>
    <row r="154" spans="2:3" x14ac:dyDescent="0.2">
      <c r="B154" s="2">
        <v>48</v>
      </c>
      <c r="C154" s="2"/>
    </row>
    <row r="155" spans="2:3" x14ac:dyDescent="0.2">
      <c r="B155" s="2">
        <v>49</v>
      </c>
      <c r="C155" s="2"/>
    </row>
    <row r="156" spans="2:3" x14ac:dyDescent="0.2">
      <c r="B156" s="2">
        <v>50</v>
      </c>
      <c r="C156" s="2"/>
    </row>
    <row r="157" spans="2:3" x14ac:dyDescent="0.2">
      <c r="B157" s="2">
        <v>51</v>
      </c>
      <c r="C157" s="2"/>
    </row>
    <row r="158" spans="2:3" x14ac:dyDescent="0.2">
      <c r="B158" s="2">
        <v>52</v>
      </c>
      <c r="C158" s="2"/>
    </row>
    <row r="159" spans="2:3" x14ac:dyDescent="0.2">
      <c r="B159" s="2">
        <v>53</v>
      </c>
      <c r="C159" s="2"/>
    </row>
    <row r="160" spans="2:3" x14ac:dyDescent="0.2">
      <c r="B160" s="2">
        <v>54</v>
      </c>
      <c r="C160" s="2"/>
    </row>
    <row r="161" spans="2:3" x14ac:dyDescent="0.2">
      <c r="B161" s="2">
        <v>55</v>
      </c>
      <c r="C161" s="2"/>
    </row>
    <row r="162" spans="2:3" x14ac:dyDescent="0.2">
      <c r="B162" s="2">
        <v>56</v>
      </c>
      <c r="C162" s="2"/>
    </row>
    <row r="163" spans="2:3" x14ac:dyDescent="0.2">
      <c r="B163" s="2">
        <v>57</v>
      </c>
      <c r="C163" s="2"/>
    </row>
    <row r="164" spans="2:3" x14ac:dyDescent="0.2">
      <c r="B164" s="2">
        <v>58</v>
      </c>
      <c r="C164" s="2"/>
    </row>
    <row r="165" spans="2:3" x14ac:dyDescent="0.2">
      <c r="B165" s="2">
        <v>59</v>
      </c>
      <c r="C165" s="2"/>
    </row>
    <row r="166" spans="2:3" x14ac:dyDescent="0.2">
      <c r="B166" s="2">
        <v>60</v>
      </c>
      <c r="C166" s="2"/>
    </row>
    <row r="167" spans="2:3" x14ac:dyDescent="0.2">
      <c r="B167" s="2">
        <v>61</v>
      </c>
      <c r="C167" s="2"/>
    </row>
    <row r="168" spans="2:3" x14ac:dyDescent="0.2">
      <c r="B168" s="2">
        <v>62</v>
      </c>
      <c r="C168" s="2"/>
    </row>
    <row r="169" spans="2:3" x14ac:dyDescent="0.2">
      <c r="B169" s="2">
        <v>63</v>
      </c>
      <c r="C169" s="2"/>
    </row>
    <row r="170" spans="2:3" x14ac:dyDescent="0.2">
      <c r="B170" s="2">
        <v>64</v>
      </c>
      <c r="C170" s="2"/>
    </row>
    <row r="171" spans="2:3" x14ac:dyDescent="0.2">
      <c r="B171" s="2">
        <v>65</v>
      </c>
      <c r="C171" s="2"/>
    </row>
    <row r="172" spans="2:3" x14ac:dyDescent="0.2">
      <c r="B172" s="2">
        <v>66</v>
      </c>
      <c r="C172" s="2"/>
    </row>
    <row r="173" spans="2:3" x14ac:dyDescent="0.2">
      <c r="B173" s="2">
        <v>67</v>
      </c>
      <c r="C173" s="2"/>
    </row>
    <row r="174" spans="2:3" x14ac:dyDescent="0.2">
      <c r="B174" s="2">
        <v>68</v>
      </c>
      <c r="C174" s="2"/>
    </row>
    <row r="175" spans="2:3" x14ac:dyDescent="0.2">
      <c r="B175" s="2">
        <v>69</v>
      </c>
      <c r="C175" s="2"/>
    </row>
    <row r="176" spans="2:3" x14ac:dyDescent="0.2">
      <c r="B176" s="2">
        <v>70</v>
      </c>
      <c r="C176" s="2"/>
    </row>
    <row r="177" spans="2:3" x14ac:dyDescent="0.2">
      <c r="B177" s="2">
        <v>71</v>
      </c>
      <c r="C177" s="2"/>
    </row>
    <row r="178" spans="2:3" x14ac:dyDescent="0.2">
      <c r="B178" s="2">
        <v>72</v>
      </c>
      <c r="C178" s="2"/>
    </row>
    <row r="179" spans="2:3" x14ac:dyDescent="0.2">
      <c r="B179" s="2">
        <v>73</v>
      </c>
      <c r="C179" s="2"/>
    </row>
    <row r="180" spans="2:3" x14ac:dyDescent="0.2">
      <c r="B180" s="2">
        <v>74</v>
      </c>
      <c r="C180" s="2"/>
    </row>
    <row r="181" spans="2:3" x14ac:dyDescent="0.2">
      <c r="B181" s="2">
        <v>75</v>
      </c>
      <c r="C181" s="2"/>
    </row>
    <row r="182" spans="2:3" x14ac:dyDescent="0.2">
      <c r="B182" s="2">
        <v>76</v>
      </c>
      <c r="C182" s="2"/>
    </row>
    <row r="183" spans="2:3" x14ac:dyDescent="0.2">
      <c r="B183" s="2">
        <v>77</v>
      </c>
      <c r="C183" s="2"/>
    </row>
    <row r="184" spans="2:3" x14ac:dyDescent="0.2">
      <c r="B184" s="2">
        <v>78</v>
      </c>
      <c r="C184" s="2"/>
    </row>
    <row r="185" spans="2:3" x14ac:dyDescent="0.2">
      <c r="B185" s="2">
        <v>79</v>
      </c>
      <c r="C185" s="2"/>
    </row>
    <row r="186" spans="2:3" x14ac:dyDescent="0.2">
      <c r="B186" s="2">
        <v>80</v>
      </c>
      <c r="C186" s="2"/>
    </row>
    <row r="187" spans="2:3" x14ac:dyDescent="0.2">
      <c r="B187" s="2">
        <v>81</v>
      </c>
    </row>
    <row r="188" spans="2:3" x14ac:dyDescent="0.2">
      <c r="B188" s="2">
        <v>82</v>
      </c>
    </row>
    <row r="189" spans="2:3" x14ac:dyDescent="0.2">
      <c r="B189" s="2">
        <v>83</v>
      </c>
    </row>
    <row r="190" spans="2:3" x14ac:dyDescent="0.2">
      <c r="B190" s="2">
        <v>84</v>
      </c>
    </row>
    <row r="191" spans="2:3" x14ac:dyDescent="0.2">
      <c r="B191" s="2">
        <v>85</v>
      </c>
    </row>
    <row r="192" spans="2:3" x14ac:dyDescent="0.2">
      <c r="B192" s="2">
        <v>86</v>
      </c>
    </row>
    <row r="193" spans="2:2" x14ac:dyDescent="0.2">
      <c r="B193" s="2">
        <v>87</v>
      </c>
    </row>
    <row r="194" spans="2:2" x14ac:dyDescent="0.2">
      <c r="B194" s="2">
        <v>88</v>
      </c>
    </row>
    <row r="195" spans="2:2" x14ac:dyDescent="0.2">
      <c r="B195" s="2">
        <v>89</v>
      </c>
    </row>
    <row r="196" spans="2:2" x14ac:dyDescent="0.2">
      <c r="B196" s="2">
        <v>90</v>
      </c>
    </row>
    <row r="197" spans="2:2" x14ac:dyDescent="0.2">
      <c r="B197" s="2">
        <v>91</v>
      </c>
    </row>
    <row r="198" spans="2:2" x14ac:dyDescent="0.2">
      <c r="B198" s="2">
        <v>92</v>
      </c>
    </row>
    <row r="199" spans="2:2" x14ac:dyDescent="0.2">
      <c r="B199" s="2">
        <v>93</v>
      </c>
    </row>
    <row r="200" spans="2:2" x14ac:dyDescent="0.2">
      <c r="B200" s="2">
        <v>94</v>
      </c>
    </row>
    <row r="201" spans="2:2" x14ac:dyDescent="0.2">
      <c r="B201" s="2">
        <v>95</v>
      </c>
    </row>
    <row r="202" spans="2:2" x14ac:dyDescent="0.2">
      <c r="B202" s="2">
        <v>96</v>
      </c>
    </row>
    <row r="203" spans="2:2" x14ac:dyDescent="0.2">
      <c r="B203" s="2">
        <v>97</v>
      </c>
    </row>
    <row r="204" spans="2:2" x14ac:dyDescent="0.2">
      <c r="B204" s="2">
        <v>98</v>
      </c>
    </row>
    <row r="205" spans="2:2" x14ac:dyDescent="0.2">
      <c r="B205" s="2">
        <v>99</v>
      </c>
    </row>
  </sheetData>
  <conditionalFormatting sqref="B7:S32">
    <cfRule type="cellIs" dxfId="23" priority="5" operator="lessThan">
      <formula>59.999</formula>
    </cfRule>
    <cfRule type="cellIs" dxfId="22" priority="6" operator="between">
      <formula>60</formula>
      <formula>89.999</formula>
    </cfRule>
    <cfRule type="cellIs" dxfId="21" priority="7" operator="between">
      <formula>140</formula>
      <formula>90</formula>
    </cfRule>
    <cfRule type="cellIs" dxfId="20" priority="8" operator="greaterThan">
      <formula>140</formula>
    </cfRule>
  </conditionalFormatting>
  <conditionalFormatting sqref="T7:T32">
    <cfRule type="cellIs" dxfId="7" priority="1" operator="lessThan">
      <formula>59.999</formula>
    </cfRule>
    <cfRule type="cellIs" dxfId="6" priority="2" operator="between">
      <formula>60</formula>
      <formula>89.999</formula>
    </cfRule>
    <cfRule type="cellIs" dxfId="5" priority="3" operator="between">
      <formula>140</formula>
      <formula>90</formula>
    </cfRule>
    <cfRule type="cellIs" dxfId="4" priority="4" operator="greaterThan">
      <formula>140</formula>
    </cfRule>
  </conditionalFormatting>
  <dataValidations count="5">
    <dataValidation type="list" allowBlank="1" showInputMessage="1" showErrorMessage="1" sqref="B42">
      <formula1>$D$106:$D$107</formula1>
    </dataValidation>
    <dataValidation type="list" allowBlank="1" showInputMessage="1" showErrorMessage="1" sqref="B46">
      <formula1>$C$106:$C$107</formula1>
    </dataValidation>
    <dataValidation type="list" allowBlank="1" showInputMessage="1" showErrorMessage="1" sqref="B34">
      <formula1>$B$106:$B$205</formula1>
    </dataValidation>
    <dataValidation type="list" allowBlank="1" showInputMessage="1" showErrorMessage="1" sqref="B36">
      <formula1>#REF!</formula1>
    </dataValidation>
    <dataValidation type="list" allowBlank="1" showInputMessage="1" showErrorMessage="1" sqref="B35">
      <formula1>$A$106:$A$107</formula1>
    </dataValidation>
  </dataValidations>
  <pageMargins left="0.78740157499999996" right="0.78740157499999996" top="0.984251969" bottom="0.984251969" header="0.4921259845" footer="0.4921259845"/>
  <pageSetup paperSize="55" scale="85" orientation="landscape" horizontalDpi="1200" verticalDpi="120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Kreatinin basiert</vt:lpstr>
      <vt:lpstr>Cystatin basiert</vt:lpstr>
      <vt:lpstr>'Cystatin basiert'!Alter</vt:lpstr>
      <vt:lpstr>Alter</vt:lpstr>
      <vt:lpstr>'Cystatin basiert'!Druckbereich</vt:lpstr>
      <vt:lpstr>'Kreatinin basiert'!Druckbereich</vt:lpstr>
      <vt:lpstr>'Cystatin basiert'!Geschlecht</vt:lpstr>
      <vt:lpstr>Geschlecht</vt:lpstr>
    </vt:vector>
  </TitlesOfParts>
  <Company>Privat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Steinbach</dc:creator>
  <cp:lastModifiedBy>Steinbach Gerald</cp:lastModifiedBy>
  <cp:lastPrinted>2008-04-22T14:14:26Z</cp:lastPrinted>
  <dcterms:created xsi:type="dcterms:W3CDTF">2008-04-21T11:25:44Z</dcterms:created>
  <dcterms:modified xsi:type="dcterms:W3CDTF">2016-01-04T14:49:15Z</dcterms:modified>
</cp:coreProperties>
</file>